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7365" activeTab="1"/>
  </bookViews>
  <sheets>
    <sheet name="Scenarios" sheetId="1" r:id="rId1"/>
    <sheet name="Results" sheetId="2" r:id="rId2"/>
    <sheet name="RUG-able Qtly" sheetId="3" state="hidden" r:id="rId3"/>
  </sheets>
  <definedNames>
    <definedName name="_xlnm.Print_Area" localSheetId="1">'Results'!$A$8:$N$110</definedName>
    <definedName name="_xlnm.Print_Area" localSheetId="0">'Scenarios'!$A$1:$H$42</definedName>
    <definedName name="_xlnm.Print_Titles" localSheetId="1">'Results'!$1:$7</definedName>
  </definedNames>
  <calcPr fullCalcOnLoad="1"/>
</workbook>
</file>

<file path=xl/comments1.xml><?xml version="1.0" encoding="utf-8"?>
<comments xmlns="http://schemas.openxmlformats.org/spreadsheetml/2006/main">
  <authors>
    <author>Jim Robinson</author>
  </authors>
  <commentList>
    <comment ref="H37" authorId="0">
      <text>
        <r>
          <rPr>
            <b/>
            <sz val="8"/>
            <rFont val="Tahoma"/>
            <family val="2"/>
          </rPr>
          <t>Jim Robinson:</t>
        </r>
        <r>
          <rPr>
            <sz val="8"/>
            <rFont val="Tahoma"/>
            <family val="2"/>
          </rPr>
          <t xml:space="preserve">
$62 increase in bed assessment per month ($778 to $840)</t>
        </r>
      </text>
    </comment>
    <comment ref="F39" authorId="0">
      <text>
        <r>
          <rPr>
            <b/>
            <sz val="8"/>
            <rFont val="Tahoma"/>
            <family val="2"/>
          </rPr>
          <t>Jim Robinson:</t>
        </r>
        <r>
          <rPr>
            <sz val="8"/>
            <rFont val="Tahoma"/>
            <family val="2"/>
          </rPr>
          <t xml:space="preserve">
From RM budget spreadsheet = 1% of net cost (gross rate - pat liab) to continue SFY11 rates</t>
        </r>
      </text>
    </comment>
  </commentList>
</comments>
</file>

<file path=xl/sharedStrings.xml><?xml version="1.0" encoding="utf-8"?>
<sst xmlns="http://schemas.openxmlformats.org/spreadsheetml/2006/main" count="114" uniqueCount="78">
  <si>
    <t>T19 FFS PDs</t>
  </si>
  <si>
    <t>Nursing Facilities</t>
  </si>
  <si>
    <t>ICFs/MR</t>
  </si>
  <si>
    <t>For-Profit</t>
  </si>
  <si>
    <t>Tax-Exempt</t>
  </si>
  <si>
    <t>County</t>
  </si>
  <si>
    <t>Other Govt</t>
  </si>
  <si>
    <t>Total</t>
  </si>
  <si>
    <t>Local Govt</t>
  </si>
  <si>
    <t>Gross Expenditures (000's)</t>
  </si>
  <si>
    <t>Cumulative Increase in Gross Expenditures from Base Scenario (000's)</t>
  </si>
  <si>
    <t>Increase in Gross Expenditures from Prior Scenario (000's)</t>
  </si>
  <si>
    <t>Scenario Description</t>
  </si>
  <si>
    <t>Increase in Expenditures PPD from Prior Scenario</t>
  </si>
  <si>
    <t>Cumulative Increase in Expenditures PPD from Base Scenario</t>
  </si>
  <si>
    <t>NF</t>
  </si>
  <si>
    <t>ICF/MR</t>
  </si>
  <si>
    <t>Provision for Medicaid Access Incentive</t>
  </si>
  <si>
    <t>Percent Increase in Expenditures from Prior Scenario</t>
  </si>
  <si>
    <t>Cumulative Percent Increase in Expenditures from Base Scenario</t>
  </si>
  <si>
    <t>Calculation of Medicaid Access Incentive</t>
  </si>
  <si>
    <t>Monthly Bed Assessment</t>
  </si>
  <si>
    <t>Days per month</t>
  </si>
  <si>
    <t>Daily Bed Assesment</t>
  </si>
  <si>
    <t>Patients per Bed</t>
  </si>
  <si>
    <t>Bed Assessment per Patient Day</t>
  </si>
  <si>
    <t>Medicaid Patient Percentage</t>
  </si>
  <si>
    <t>Bed Assessment per Medicaid Patient Day (=MAI)</t>
  </si>
  <si>
    <t>Increase in patient liability (est.)</t>
  </si>
  <si>
    <t>Expenditures PPD</t>
  </si>
  <si>
    <t>DC Nursing Base</t>
  </si>
  <si>
    <t>DC Other Base</t>
  </si>
  <si>
    <t>Supp. Serv. Base</t>
  </si>
  <si>
    <t>Chg</t>
  </si>
  <si>
    <t>1-89</t>
  </si>
  <si>
    <t>90-179</t>
  </si>
  <si>
    <t>180-269</t>
  </si>
  <si>
    <t>270+</t>
  </si>
  <si>
    <t>All NonDD</t>
  </si>
  <si>
    <t>MR RUGable not Qtly</t>
  </si>
  <si>
    <t>MR RUGable Qtly</t>
  </si>
  <si>
    <t>Prior T18</t>
  </si>
  <si>
    <t>Prior NonT18</t>
  </si>
  <si>
    <t>Adm</t>
  </si>
  <si>
    <t>Annual</t>
  </si>
  <si>
    <t>Sig Chg</t>
  </si>
  <si>
    <t>T19 FFS NonDD</t>
  </si>
  <si>
    <t>NonT19 FFS NonDD</t>
  </si>
  <si>
    <t>Count</t>
  </si>
  <si>
    <t>Impact of RUG-able Quarterly Assessments on 12/31/2009 Case Mix Indices</t>
  </si>
  <si>
    <t>RUG-able Qtly</t>
  </si>
  <si>
    <t>Prior RUGs</t>
  </si>
  <si>
    <t>Population</t>
  </si>
  <si>
    <t>Days from Prior RUGa-able to Qtly</t>
  </si>
  <si>
    <t>RUG-34 Case Mix Index</t>
  </si>
  <si>
    <t>* 33 residents with subkey=0 (NonRUGable Qtly after 10/1/2009) --&gt; RUGs based on 2-page Qtly</t>
  </si>
  <si>
    <t>* 26 residents with subkey&lt;0 and error on RUG classification --&gt; RUG set to NA</t>
  </si>
  <si>
    <t xml:space="preserve">  % of base expenditures</t>
  </si>
  <si>
    <t>Scen 2: Base Scenario for SFY12 Model Year - SFY11 Average Rates</t>
  </si>
  <si>
    <t>Scen 3: Impute 2010 CRs and calc rates for SFY12 using SFY11 formula and avg acuity</t>
  </si>
  <si>
    <t>Scen 4: Update All-Res CMI to RUGable Qtly MDS Status in 2010 CR Period</t>
  </si>
  <si>
    <t>Scen 5: Use 2010R2 data and update property valuation factors</t>
  </si>
  <si>
    <t>Scen 6: Increase in ICF/MR MAI</t>
  </si>
  <si>
    <t>Scen 7: Preliminary SFY12 Labor Factors</t>
  </si>
  <si>
    <t>Change</t>
  </si>
  <si>
    <t>PDs</t>
  </si>
  <si>
    <t>Expend.</t>
  </si>
  <si>
    <t>Rate increase supported by GPR/FED</t>
  </si>
  <si>
    <t>Preliminary SFY 2012 WI T19 FFS Nursing Home Model Scenario Base Values</t>
  </si>
  <si>
    <t>Prior Year MAI</t>
  </si>
  <si>
    <t>Provision for Acuity Increase (1% CMI Increase)</t>
  </si>
  <si>
    <t>Scen 8: Average SFY12 RUG-34 CMI</t>
  </si>
  <si>
    <t>Scen 9: Average SFY12 RUG-48 CMI</t>
  </si>
  <si>
    <t>Scen 10: Adjust DC Bases to Offset RUG-48 Average Impact</t>
  </si>
  <si>
    <t>Budgeted Amounts for Rate and Acuity Increases</t>
  </si>
  <si>
    <t>Scen 12: Adjust DC Bases to Hit Expenditure Targets</t>
  </si>
  <si>
    <t>SFY 2012 WI T19 FFS Nursing Home Model Scenario Results</t>
  </si>
  <si>
    <t>SFY 2012 WI T19 FFS Nursing Home Model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</si>
</sst>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_);_(@_)"/>
    <numFmt numFmtId="177" formatCode="_(* #,##0.0000_);_(* \(#,##0.0000\);_(* &quot;-&quot;????_);_(@_)"/>
    <numFmt numFmtId="178" formatCode="_(* #,##0.000_);_(* \(#,##0.000\);_(* &quot;-&quot;???_);_(@_)"/>
    <numFmt numFmtId="179" formatCode="0.000"/>
    <numFmt numFmtId="180" formatCode="[$-409]dddd\,\ mmmm\ dd\,\ yyyy"/>
    <numFmt numFmtId="181" formatCode="\$#,##0_);\(\$#,##0\)"/>
    <numFmt numFmtId="182" formatCode="0.0000000"/>
    <numFmt numFmtId="183" formatCode="0.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43" fontId="1" fillId="0" borderId="10" xfId="42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5" fontId="1" fillId="0" borderId="14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13" xfId="42" applyNumberFormat="1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164" fontId="1" fillId="0" borderId="13" xfId="42" applyNumberFormat="1" applyFont="1" applyBorder="1" applyAlignment="1">
      <alignment/>
    </xf>
    <xf numFmtId="164" fontId="1" fillId="0" borderId="15" xfId="42" applyNumberFormat="1" applyFont="1" applyBorder="1" applyAlignment="1">
      <alignment/>
    </xf>
    <xf numFmtId="164" fontId="1" fillId="0" borderId="17" xfId="42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14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17" xfId="42" applyFont="1" applyBorder="1" applyAlignment="1">
      <alignment/>
    </xf>
    <xf numFmtId="0" fontId="4" fillId="33" borderId="18" xfId="0" applyFont="1" applyFill="1" applyBorder="1" applyAlignment="1">
      <alignment horizontal="centerContinuous"/>
    </xf>
    <xf numFmtId="0" fontId="4" fillId="33" borderId="11" xfId="0" applyFont="1" applyFill="1" applyBorder="1" applyAlignment="1" quotePrefix="1">
      <alignment horizontal="left"/>
    </xf>
    <xf numFmtId="0" fontId="0" fillId="33" borderId="12" xfId="0" applyFill="1" applyBorder="1" applyAlignment="1">
      <alignment/>
    </xf>
    <xf numFmtId="165" fontId="1" fillId="33" borderId="11" xfId="42" applyNumberFormat="1" applyFont="1" applyFill="1" applyBorder="1" applyAlignment="1">
      <alignment/>
    </xf>
    <xf numFmtId="165" fontId="1" fillId="33" borderId="16" xfId="42" applyNumberFormat="1" applyFont="1" applyFill="1" applyBorder="1" applyAlignment="1">
      <alignment/>
    </xf>
    <xf numFmtId="165" fontId="1" fillId="33" borderId="12" xfId="42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165" fontId="1" fillId="33" borderId="19" xfId="42" applyNumberFormat="1" applyFont="1" applyFill="1" applyBorder="1" applyAlignment="1">
      <alignment/>
    </xf>
    <xf numFmtId="165" fontId="1" fillId="33" borderId="21" xfId="42" applyNumberFormat="1" applyFont="1" applyFill="1" applyBorder="1" applyAlignment="1">
      <alignment/>
    </xf>
    <xf numFmtId="165" fontId="1" fillId="33" borderId="20" xfId="42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43" fontId="1" fillId="0" borderId="21" xfId="42" applyFont="1" applyBorder="1" applyAlignment="1">
      <alignment/>
    </xf>
    <xf numFmtId="167" fontId="1" fillId="0" borderId="13" xfId="57" applyNumberFormat="1" applyFont="1" applyBorder="1" applyAlignment="1">
      <alignment/>
    </xf>
    <xf numFmtId="43" fontId="1" fillId="0" borderId="19" xfId="42" applyFont="1" applyBorder="1" applyAlignment="1">
      <alignment/>
    </xf>
    <xf numFmtId="43" fontId="1" fillId="0" borderId="20" xfId="42" applyFont="1" applyBorder="1" applyAlignment="1">
      <alignment/>
    </xf>
    <xf numFmtId="167" fontId="1" fillId="0" borderId="14" xfId="57" applyNumberFormat="1" applyFont="1" applyBorder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 horizontal="center"/>
    </xf>
    <xf numFmtId="169" fontId="1" fillId="0" borderId="0" xfId="44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4" fillId="33" borderId="19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33" borderId="0" xfId="0" applyFont="1" applyFill="1" applyAlignment="1" quotePrefix="1">
      <alignment horizontal="left"/>
    </xf>
    <xf numFmtId="0" fontId="0" fillId="0" borderId="17" xfId="0" applyBorder="1" applyAlignment="1" quotePrefix="1">
      <alignment horizontal="left"/>
    </xf>
    <xf numFmtId="167" fontId="1" fillId="0" borderId="0" xfId="57" applyNumberFormat="1" applyFont="1" applyBorder="1" applyAlignment="1">
      <alignment/>
    </xf>
    <xf numFmtId="167" fontId="1" fillId="0" borderId="15" xfId="57" applyNumberFormat="1" applyFont="1" applyBorder="1" applyAlignment="1">
      <alignment/>
    </xf>
    <xf numFmtId="167" fontId="1" fillId="0" borderId="10" xfId="57" applyNumberFormat="1" applyFont="1" applyBorder="1" applyAlignment="1">
      <alignment/>
    </xf>
    <xf numFmtId="167" fontId="1" fillId="0" borderId="17" xfId="57" applyNumberFormat="1" applyFont="1" applyBorder="1" applyAlignment="1">
      <alignment/>
    </xf>
    <xf numFmtId="0" fontId="6" fillId="33" borderId="0" xfId="0" applyFont="1" applyFill="1" applyAlignment="1" quotePrefix="1">
      <alignment horizontal="left"/>
    </xf>
    <xf numFmtId="44" fontId="1" fillId="0" borderId="0" xfId="44" applyFont="1" applyAlignment="1">
      <alignment/>
    </xf>
    <xf numFmtId="0" fontId="0" fillId="0" borderId="0" xfId="0" applyAlignment="1" quotePrefix="1">
      <alignment horizontal="left"/>
    </xf>
    <xf numFmtId="44" fontId="0" fillId="0" borderId="0" xfId="0" applyNumberFormat="1" applyAlignment="1">
      <alignment/>
    </xf>
    <xf numFmtId="164" fontId="1" fillId="0" borderId="10" xfId="42" applyNumberFormat="1" applyFont="1" applyBorder="1" applyAlignment="1">
      <alignment/>
    </xf>
    <xf numFmtId="167" fontId="0" fillId="0" borderId="10" xfId="0" applyNumberFormat="1" applyBorder="1" applyAlignment="1">
      <alignment/>
    </xf>
    <xf numFmtId="44" fontId="0" fillId="0" borderId="22" xfId="0" applyNumberFormat="1" applyBorder="1" applyAlignment="1">
      <alignment/>
    </xf>
    <xf numFmtId="43" fontId="1" fillId="0" borderId="15" xfId="42" applyNumberFormat="1" applyFont="1" applyBorder="1" applyAlignment="1">
      <alignment/>
    </xf>
    <xf numFmtId="43" fontId="1" fillId="0" borderId="10" xfId="42" applyNumberFormat="1" applyFont="1" applyBorder="1" applyAlignment="1">
      <alignment/>
    </xf>
    <xf numFmtId="43" fontId="1" fillId="0" borderId="17" xfId="42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1" fillId="33" borderId="13" xfId="42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19" xfId="0" applyNumberFormat="1" applyBorder="1" applyAlignment="1">
      <alignment/>
    </xf>
    <xf numFmtId="170" fontId="1" fillId="34" borderId="20" xfId="42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70" fontId="1" fillId="0" borderId="17" xfId="42" applyNumberFormat="1" applyFont="1" applyBorder="1" applyAlignment="1">
      <alignment/>
    </xf>
    <xf numFmtId="170" fontId="1" fillId="33" borderId="17" xfId="42" applyNumberFormat="1" applyFont="1" applyFill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7" xfId="0" applyNumberFormat="1" applyBorder="1" applyAlignment="1">
      <alignment/>
    </xf>
    <xf numFmtId="165" fontId="0" fillId="0" borderId="23" xfId="0" applyNumberFormat="1" applyBorder="1" applyAlignment="1">
      <alignment horizontal="left" indent="1"/>
    </xf>
    <xf numFmtId="165" fontId="0" fillId="0" borderId="24" xfId="0" applyNumberFormat="1" applyBorder="1" applyAlignment="1">
      <alignment horizontal="left" indent="1"/>
    </xf>
    <xf numFmtId="165" fontId="0" fillId="0" borderId="23" xfId="0" applyNumberFormat="1" applyBorder="1" applyAlignment="1">
      <alignment horizontal="left" indent="2"/>
    </xf>
    <xf numFmtId="165" fontId="0" fillId="0" borderId="24" xfId="0" applyNumberFormat="1" applyBorder="1" applyAlignment="1">
      <alignment horizontal="left" indent="2"/>
    </xf>
    <xf numFmtId="165" fontId="0" fillId="0" borderId="23" xfId="0" applyNumberFormat="1" applyBorder="1" applyAlignment="1">
      <alignment horizontal="left" indent="3"/>
    </xf>
    <xf numFmtId="165" fontId="0" fillId="0" borderId="24" xfId="0" applyNumberFormat="1" applyBorder="1" applyAlignment="1">
      <alignment horizontal="left" indent="3"/>
    </xf>
    <xf numFmtId="170" fontId="0" fillId="0" borderId="25" xfId="0" applyNumberForma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24" xfId="0" applyNumberFormat="1" applyBorder="1" applyAlignment="1">
      <alignment/>
    </xf>
    <xf numFmtId="170" fontId="0" fillId="0" borderId="18" xfId="0" applyNumberFormat="1" applyBorder="1" applyAlignment="1">
      <alignment/>
    </xf>
    <xf numFmtId="0" fontId="8" fillId="0" borderId="0" xfId="0" applyFont="1" applyAlignment="1" quotePrefix="1">
      <alignment horizontal="left"/>
    </xf>
    <xf numFmtId="0" fontId="4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165" fontId="4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67" fontId="8" fillId="0" borderId="0" xfId="57" applyNumberFormat="1" applyFont="1" applyAlignment="1">
      <alignment/>
    </xf>
    <xf numFmtId="164" fontId="1" fillId="0" borderId="0" xfId="42" applyNumberFormat="1" applyFont="1" applyFill="1" applyBorder="1" applyAlignment="1">
      <alignment/>
    </xf>
    <xf numFmtId="165" fontId="1" fillId="0" borderId="0" xfId="42" applyNumberFormat="1" applyFont="1" applyAlignment="1">
      <alignment/>
    </xf>
    <xf numFmtId="0" fontId="0" fillId="0" borderId="20" xfId="0" applyBorder="1" applyAlignment="1" quotePrefix="1">
      <alignment horizontal="left"/>
    </xf>
    <xf numFmtId="0" fontId="9" fillId="0" borderId="15" xfId="0" applyFont="1" applyBorder="1" applyAlignment="1" quotePrefix="1">
      <alignment horizontal="center"/>
    </xf>
    <xf numFmtId="0" fontId="0" fillId="0" borderId="10" xfId="0" applyBorder="1" applyAlignment="1">
      <alignment/>
    </xf>
    <xf numFmtId="169" fontId="1" fillId="0" borderId="0" xfId="44" applyNumberFormat="1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6" xfId="42" applyFont="1" applyBorder="1" applyAlignment="1">
      <alignment/>
    </xf>
    <xf numFmtId="43" fontId="1" fillId="0" borderId="12" xfId="42" applyFont="1" applyBorder="1" applyAlignment="1">
      <alignment/>
    </xf>
    <xf numFmtId="0" fontId="0" fillId="0" borderId="12" xfId="0" applyBorder="1" applyAlignment="1" quotePrefix="1">
      <alignment horizontal="left"/>
    </xf>
    <xf numFmtId="167" fontId="1" fillId="0" borderId="11" xfId="57" applyNumberFormat="1" applyFont="1" applyBorder="1" applyAlignment="1">
      <alignment/>
    </xf>
    <xf numFmtId="167" fontId="1" fillId="0" borderId="16" xfId="57" applyNumberFormat="1" applyFont="1" applyBorder="1" applyAlignment="1">
      <alignment/>
    </xf>
    <xf numFmtId="167" fontId="1" fillId="0" borderId="12" xfId="57" applyNumberFormat="1" applyFont="1" applyBorder="1" applyAlignment="1">
      <alignment/>
    </xf>
    <xf numFmtId="164" fontId="1" fillId="0" borderId="11" xfId="42" applyNumberFormat="1" applyFont="1" applyBorder="1" applyAlignment="1">
      <alignment/>
    </xf>
    <xf numFmtId="164" fontId="1" fillId="0" borderId="16" xfId="42" applyNumberFormat="1" applyFont="1" applyBorder="1" applyAlignment="1">
      <alignment/>
    </xf>
    <xf numFmtId="164" fontId="1" fillId="0" borderId="12" xfId="42" applyNumberFormat="1" applyFont="1" applyBorder="1" applyAlignment="1">
      <alignment/>
    </xf>
    <xf numFmtId="0" fontId="9" fillId="0" borderId="14" xfId="0" applyFont="1" applyBorder="1" applyAlignment="1" quotePrefix="1">
      <alignment horizontal="center"/>
    </xf>
    <xf numFmtId="43" fontId="9" fillId="0" borderId="11" xfId="42" applyFont="1" applyFill="1" applyBorder="1" applyAlignment="1">
      <alignment/>
    </xf>
    <xf numFmtId="43" fontId="9" fillId="0" borderId="12" xfId="42" applyFont="1" applyFill="1" applyBorder="1" applyAlignment="1">
      <alignment/>
    </xf>
    <xf numFmtId="43" fontId="9" fillId="0" borderId="16" xfId="42" applyFont="1" applyFill="1" applyBorder="1" applyAlignment="1">
      <alignment/>
    </xf>
    <xf numFmtId="169" fontId="1" fillId="0" borderId="0" xfId="44" applyNumberFormat="1" applyFont="1" applyFill="1" applyBorder="1" applyAlignment="1">
      <alignment/>
    </xf>
    <xf numFmtId="0" fontId="0" fillId="0" borderId="17" xfId="0" applyBorder="1" applyAlignment="1">
      <alignment/>
    </xf>
    <xf numFmtId="167" fontId="1" fillId="0" borderId="19" xfId="57" applyNumberFormat="1" applyFont="1" applyBorder="1" applyAlignment="1">
      <alignment/>
    </xf>
    <xf numFmtId="167" fontId="1" fillId="0" borderId="20" xfId="57" applyNumberFormat="1" applyFont="1" applyBorder="1" applyAlignment="1">
      <alignment/>
    </xf>
    <xf numFmtId="167" fontId="1" fillId="0" borderId="0" xfId="57" applyNumberFormat="1" applyFont="1" applyAlignment="1">
      <alignment/>
    </xf>
    <xf numFmtId="167" fontId="1" fillId="0" borderId="21" xfId="57" applyNumberFormat="1" applyFont="1" applyBorder="1" applyAlignment="1">
      <alignment/>
    </xf>
    <xf numFmtId="167" fontId="9" fillId="0" borderId="11" xfId="57" applyNumberFormat="1" applyFont="1" applyFill="1" applyBorder="1" applyAlignment="1">
      <alignment/>
    </xf>
    <xf numFmtId="167" fontId="9" fillId="0" borderId="12" xfId="57" applyNumberFormat="1" applyFont="1" applyFill="1" applyBorder="1" applyAlignment="1">
      <alignment/>
    </xf>
    <xf numFmtId="167" fontId="9" fillId="0" borderId="16" xfId="57" applyNumberFormat="1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 quotePrefix="1">
      <alignment horizontal="left"/>
    </xf>
    <xf numFmtId="167" fontId="1" fillId="35" borderId="15" xfId="57" applyNumberFormat="1" applyFont="1" applyFill="1" applyBorder="1" applyAlignment="1">
      <alignment/>
    </xf>
    <xf numFmtId="167" fontId="1" fillId="35" borderId="10" xfId="57" applyNumberFormat="1" applyFont="1" applyFill="1" applyBorder="1" applyAlignment="1">
      <alignment/>
    </xf>
    <xf numFmtId="167" fontId="1" fillId="35" borderId="17" xfId="57" applyNumberFormat="1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43" fontId="9" fillId="35" borderId="15" xfId="42" applyFont="1" applyFill="1" applyBorder="1" applyAlignment="1">
      <alignment/>
    </xf>
    <xf numFmtId="43" fontId="9" fillId="35" borderId="17" xfId="42" applyFont="1" applyFill="1" applyBorder="1" applyAlignment="1">
      <alignment/>
    </xf>
    <xf numFmtId="0" fontId="0" fillId="35" borderId="0" xfId="0" applyFill="1" applyAlignment="1">
      <alignment/>
    </xf>
    <xf numFmtId="43" fontId="9" fillId="35" borderId="10" xfId="42" applyFont="1" applyFill="1" applyBorder="1" applyAlignment="1">
      <alignment/>
    </xf>
    <xf numFmtId="167" fontId="9" fillId="35" borderId="15" xfId="57" applyNumberFormat="1" applyFont="1" applyFill="1" applyBorder="1" applyAlignment="1">
      <alignment/>
    </xf>
    <xf numFmtId="167" fontId="9" fillId="35" borderId="17" xfId="57" applyNumberFormat="1" applyFont="1" applyFill="1" applyBorder="1" applyAlignment="1">
      <alignment/>
    </xf>
    <xf numFmtId="167" fontId="1" fillId="35" borderId="0" xfId="57" applyNumberFormat="1" applyFont="1" applyFill="1" applyAlignment="1">
      <alignment/>
    </xf>
    <xf numFmtId="167" fontId="9" fillId="35" borderId="10" xfId="57" applyNumberFormat="1" applyFont="1" applyFill="1" applyBorder="1" applyAlignment="1">
      <alignment/>
    </xf>
    <xf numFmtId="0" fontId="4" fillId="35" borderId="18" xfId="0" applyFont="1" applyFill="1" applyBorder="1" applyAlignment="1">
      <alignment horizontal="centerContinuous"/>
    </xf>
    <xf numFmtId="0" fontId="10" fillId="33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34">
      <selection activeCell="A1" sqref="A1"/>
    </sheetView>
  </sheetViews>
  <sheetFormatPr defaultColWidth="9.140625" defaultRowHeight="15"/>
  <cols>
    <col min="1" max="1" width="6.00390625" style="0" customWidth="1"/>
    <col min="2" max="4" width="12.7109375" style="0" customWidth="1"/>
    <col min="5" max="5" width="14.28125" style="0" customWidth="1"/>
    <col min="6" max="6" width="12.7109375" style="0" customWidth="1"/>
    <col min="7" max="7" width="15.421875" style="0" customWidth="1"/>
    <col min="8" max="8" width="12.7109375" style="0" customWidth="1"/>
  </cols>
  <sheetData>
    <row r="1" spans="1:8" ht="23.25">
      <c r="A1" s="61" t="s">
        <v>77</v>
      </c>
      <c r="B1" s="2"/>
      <c r="C1" s="2"/>
      <c r="D1" s="2"/>
      <c r="E1" s="2"/>
      <c r="F1" s="2"/>
      <c r="G1" s="2"/>
      <c r="H1" s="2"/>
    </row>
    <row r="3" ht="8.25" customHeight="1"/>
    <row r="4" spans="1:8" ht="23.25">
      <c r="A4" s="61" t="s">
        <v>20</v>
      </c>
      <c r="B4" s="47"/>
      <c r="C4" s="47"/>
      <c r="D4" s="47"/>
      <c r="E4" s="47"/>
      <c r="F4" s="47"/>
      <c r="G4" s="47"/>
      <c r="H4" s="47"/>
    </row>
    <row r="5" ht="8.25" customHeight="1"/>
    <row r="6" spans="6:8" ht="15">
      <c r="F6" s="48" t="s">
        <v>15</v>
      </c>
      <c r="G6" s="48"/>
      <c r="H6" s="48" t="s">
        <v>16</v>
      </c>
    </row>
    <row r="8" spans="1:8" ht="15">
      <c r="A8" s="51">
        <v>1</v>
      </c>
      <c r="B8" t="s">
        <v>21</v>
      </c>
      <c r="F8" s="62">
        <v>170</v>
      </c>
      <c r="H8" s="62">
        <v>840</v>
      </c>
    </row>
    <row r="9" ht="15">
      <c r="A9" s="51"/>
    </row>
    <row r="10" spans="1:8" ht="15">
      <c r="A10" s="51">
        <v>2</v>
      </c>
      <c r="B10" t="s">
        <v>22</v>
      </c>
      <c r="F10" s="65">
        <v>30.4</v>
      </c>
      <c r="H10" s="65">
        <v>30.4</v>
      </c>
    </row>
    <row r="11" ht="15">
      <c r="A11" s="51"/>
    </row>
    <row r="12" spans="1:8" ht="15">
      <c r="A12" s="51">
        <v>3</v>
      </c>
      <c r="B12" t="s">
        <v>23</v>
      </c>
      <c r="F12" s="62">
        <f>F8/F10</f>
        <v>5.592105263157895</v>
      </c>
      <c r="H12" s="62">
        <f>H8/H10</f>
        <v>27.63157894736842</v>
      </c>
    </row>
    <row r="14" spans="1:8" ht="15">
      <c r="A14" s="51">
        <v>4</v>
      </c>
      <c r="B14" t="s">
        <v>24</v>
      </c>
      <c r="F14" s="66">
        <v>0.905</v>
      </c>
      <c r="H14" s="66">
        <v>0.905</v>
      </c>
    </row>
    <row r="16" spans="1:8" ht="15">
      <c r="A16" s="51">
        <v>5</v>
      </c>
      <c r="B16" s="63" t="s">
        <v>25</v>
      </c>
      <c r="F16" s="64">
        <f>F12/F14</f>
        <v>6.17912183774353</v>
      </c>
      <c r="H16" s="64">
        <f>H12/H14</f>
        <v>30.532131433556266</v>
      </c>
    </row>
    <row r="18" spans="1:8" ht="15">
      <c r="A18" s="51">
        <v>6</v>
      </c>
      <c r="B18" t="s">
        <v>26</v>
      </c>
      <c r="F18" s="66">
        <v>0.64</v>
      </c>
      <c r="H18" s="66">
        <v>0.995</v>
      </c>
    </row>
    <row r="20" spans="1:10" ht="15.75" thickBot="1">
      <c r="A20" s="51">
        <v>7</v>
      </c>
      <c r="B20" s="63" t="s">
        <v>27</v>
      </c>
      <c r="F20" s="67">
        <f>F16/F18</f>
        <v>9.654877871474266</v>
      </c>
      <c r="H20" s="67">
        <f>ROUND(H16/H18,2)</f>
        <v>30.69</v>
      </c>
      <c r="J20" s="64"/>
    </row>
    <row r="21" ht="15.75" thickTop="1"/>
    <row r="22" spans="7:8" ht="15">
      <c r="G22" s="63" t="s">
        <v>69</v>
      </c>
      <c r="H22" s="64">
        <v>28.42</v>
      </c>
    </row>
    <row r="23" spans="7:8" ht="15">
      <c r="G23" t="s">
        <v>64</v>
      </c>
      <c r="H23" s="64">
        <f>H20-H22</f>
        <v>2.2699999999999996</v>
      </c>
    </row>
    <row r="24" spans="7:8" ht="15">
      <c r="G24" t="s">
        <v>65</v>
      </c>
      <c r="H24" s="105">
        <f>Results!N6</f>
        <v>74189.47636387777</v>
      </c>
    </row>
    <row r="25" spans="7:8" ht="15">
      <c r="G25" t="s">
        <v>66</v>
      </c>
      <c r="H25" s="50">
        <f>H23*H24</f>
        <v>168410.1113460025</v>
      </c>
    </row>
    <row r="28" spans="1:8" ht="23.25">
      <c r="A28" s="61" t="s">
        <v>74</v>
      </c>
      <c r="B28" s="2"/>
      <c r="C28" s="2"/>
      <c r="D28" s="2"/>
      <c r="E28" s="2"/>
      <c r="F28" s="2"/>
      <c r="G28" s="2"/>
      <c r="H28" s="2"/>
    </row>
    <row r="30" spans="6:8" ht="15">
      <c r="F30" s="48" t="s">
        <v>15</v>
      </c>
      <c r="G30" s="48"/>
      <c r="H30" s="48" t="s">
        <v>16</v>
      </c>
    </row>
    <row r="31" spans="6:8" ht="15">
      <c r="F31" s="48"/>
      <c r="G31" s="48"/>
      <c r="H31" s="48"/>
    </row>
    <row r="32" spans="1:8" ht="15">
      <c r="A32" s="51">
        <v>1</v>
      </c>
      <c r="B32" s="63" t="s">
        <v>67</v>
      </c>
      <c r="F32" s="49">
        <v>0</v>
      </c>
      <c r="H32" s="49">
        <f>H37/(1-0.6044)*0.6044</f>
        <v>257297.95575713832</v>
      </c>
    </row>
    <row r="33" spans="1:8" ht="15">
      <c r="A33" s="51"/>
      <c r="B33" s="102" t="s">
        <v>57</v>
      </c>
      <c r="F33" s="103">
        <f>F32/Results!H9/1000</f>
        <v>0</v>
      </c>
      <c r="G33" s="102"/>
      <c r="H33" s="103">
        <f>H32/Results!N9/1000</f>
        <v>0.015411778598420434</v>
      </c>
    </row>
    <row r="34" ht="15">
      <c r="A34" s="51"/>
    </row>
    <row r="35" spans="1:8" ht="15">
      <c r="A35" s="51">
        <v>2</v>
      </c>
      <c r="B35" s="63" t="s">
        <v>28</v>
      </c>
      <c r="F35" s="49">
        <v>0</v>
      </c>
      <c r="H35" s="49">
        <v>0</v>
      </c>
    </row>
    <row r="36" ht="15">
      <c r="A36" s="51"/>
    </row>
    <row r="37" spans="1:8" ht="15">
      <c r="A37" s="51">
        <v>3</v>
      </c>
      <c r="B37" t="s">
        <v>17</v>
      </c>
      <c r="F37" s="109">
        <v>0</v>
      </c>
      <c r="G37" s="21"/>
      <c r="H37" s="109">
        <f>H25</f>
        <v>168410.1113460025</v>
      </c>
    </row>
    <row r="38" spans="1:8" ht="15">
      <c r="A38" s="51"/>
      <c r="F38" s="109"/>
      <c r="H38" s="109"/>
    </row>
    <row r="39" spans="1:8" ht="15">
      <c r="A39" s="51">
        <v>4</v>
      </c>
      <c r="B39" s="63" t="s">
        <v>70</v>
      </c>
      <c r="F39" s="124">
        <v>7257000</v>
      </c>
      <c r="G39" s="21"/>
      <c r="H39" s="109">
        <v>0</v>
      </c>
    </row>
    <row r="41" spans="2:8" ht="15">
      <c r="B41" t="s">
        <v>7</v>
      </c>
      <c r="F41" s="50">
        <f>SUM(F32,F37,F39)</f>
        <v>7257000</v>
      </c>
      <c r="H41" s="50">
        <f>SUM(H32,H37,H39)</f>
        <v>425708.0671031408</v>
      </c>
    </row>
    <row r="42" spans="6:8" ht="15">
      <c r="F42" s="103"/>
      <c r="H42" s="103">
        <f>H41/Results!N9/1000</f>
        <v>0.0254993027770027</v>
      </c>
    </row>
  </sheetData>
  <sheetProtection/>
  <printOptions/>
  <pageMargins left="0.7" right="0.7" top="0.75" bottom="0.75" header="0.3" footer="0.3"/>
  <pageSetup fitToHeight="1" fitToWidth="1" orientation="portrait" scale="91" r:id="rId3"/>
  <headerFooter>
    <oddFooter>&amp;LCHSRA, UW - Madison&amp;CC-1&amp;RAugust 16, 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B37" sqref="B37"/>
    </sheetView>
  </sheetViews>
  <sheetFormatPr defaultColWidth="9.140625" defaultRowHeight="15"/>
  <cols>
    <col min="1" max="1" width="5.8515625" style="0" customWidth="1"/>
    <col min="2" max="2" width="75.8515625" style="0" customWidth="1"/>
    <col min="3" max="4" width="10.7109375" style="0" customWidth="1"/>
    <col min="5" max="6" width="10.7109375" style="0" hidden="1" customWidth="1"/>
    <col min="7" max="10" width="10.7109375" style="0" customWidth="1"/>
    <col min="11" max="12" width="10.7109375" style="0" hidden="1" customWidth="1"/>
    <col min="13" max="14" width="10.7109375" style="0" customWidth="1"/>
    <col min="15" max="15" width="13.28125" style="0" bestFit="1" customWidth="1"/>
    <col min="16" max="16" width="11.140625" style="0" customWidth="1"/>
    <col min="17" max="26" width="10.57421875" style="0" bestFit="1" customWidth="1"/>
  </cols>
  <sheetData>
    <row r="1" spans="1:14" ht="26.25">
      <c r="A1" s="55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15">
      <c r="A3" s="148" t="s">
        <v>12</v>
      </c>
      <c r="B3" s="148"/>
      <c r="C3" s="27" t="s">
        <v>1</v>
      </c>
      <c r="D3" s="147"/>
      <c r="E3" s="27"/>
      <c r="F3" s="27"/>
      <c r="G3" s="147"/>
      <c r="H3" s="27"/>
      <c r="I3" s="27" t="s">
        <v>2</v>
      </c>
      <c r="J3" s="147"/>
      <c r="K3" s="27"/>
      <c r="L3" s="27"/>
      <c r="M3" s="147"/>
      <c r="N3" s="27"/>
    </row>
    <row r="4" spans="1:14" ht="15">
      <c r="A4" s="148"/>
      <c r="B4" s="148"/>
      <c r="C4" s="138" t="s">
        <v>3</v>
      </c>
      <c r="D4" s="138" t="s">
        <v>4</v>
      </c>
      <c r="E4" s="138" t="s">
        <v>5</v>
      </c>
      <c r="F4" s="138" t="s">
        <v>6</v>
      </c>
      <c r="G4" s="138" t="s">
        <v>8</v>
      </c>
      <c r="H4" s="138" t="s">
        <v>7</v>
      </c>
      <c r="I4" s="138" t="s">
        <v>3</v>
      </c>
      <c r="J4" s="138" t="s">
        <v>4</v>
      </c>
      <c r="K4" s="138" t="s">
        <v>5</v>
      </c>
      <c r="L4" s="138" t="s">
        <v>6</v>
      </c>
      <c r="M4" s="138" t="s">
        <v>8</v>
      </c>
      <c r="N4" s="138" t="s">
        <v>7</v>
      </c>
    </row>
    <row r="5" spans="1:14" ht="15">
      <c r="A5" s="3"/>
      <c r="B5" s="4"/>
      <c r="C5" s="10"/>
      <c r="D5" s="11"/>
      <c r="E5" s="11"/>
      <c r="F5" s="11"/>
      <c r="G5" s="11"/>
      <c r="H5" s="12"/>
      <c r="I5" s="10"/>
      <c r="J5" s="11"/>
      <c r="K5" s="11"/>
      <c r="L5" s="11"/>
      <c r="M5" s="11"/>
      <c r="N5" s="12"/>
    </row>
    <row r="6" spans="1:14" ht="15">
      <c r="A6" s="36" t="s">
        <v>0</v>
      </c>
      <c r="B6" s="37"/>
      <c r="C6" s="38">
        <v>2762344.4834754057</v>
      </c>
      <c r="D6" s="39">
        <v>1996051.6695348562</v>
      </c>
      <c r="E6" s="39">
        <v>1141333.578997147</v>
      </c>
      <c r="F6" s="39">
        <v>114115.7916287126</v>
      </c>
      <c r="G6" s="39">
        <f>E6+F6</f>
        <v>1255449.3706258596</v>
      </c>
      <c r="H6" s="40">
        <f>SUM(C6:F6)</f>
        <v>6013845.523636122</v>
      </c>
      <c r="I6" s="38">
        <v>2639.0314109781757</v>
      </c>
      <c r="J6" s="39">
        <v>33441.87558275787</v>
      </c>
      <c r="K6" s="39">
        <v>38108.56937014172</v>
      </c>
      <c r="L6" s="39">
        <v>0</v>
      </c>
      <c r="M6" s="39">
        <f>K6+L6</f>
        <v>38108.56937014172</v>
      </c>
      <c r="N6" s="40">
        <f>SUM(I6:L6)</f>
        <v>74189.47636387777</v>
      </c>
    </row>
    <row r="7" spans="1:14" ht="15">
      <c r="A7" s="6"/>
      <c r="B7" s="5"/>
      <c r="C7" s="13"/>
      <c r="D7" s="14"/>
      <c r="E7" s="14"/>
      <c r="F7" s="14"/>
      <c r="G7" s="14"/>
      <c r="H7" s="15"/>
      <c r="I7" s="13"/>
      <c r="J7" s="14"/>
      <c r="K7" s="14"/>
      <c r="L7" s="14"/>
      <c r="M7" s="14"/>
      <c r="N7" s="15"/>
    </row>
    <row r="8" spans="1:14" ht="15">
      <c r="A8" s="28" t="s">
        <v>9</v>
      </c>
      <c r="B8" s="29"/>
      <c r="C8" s="30"/>
      <c r="D8" s="31"/>
      <c r="E8" s="31"/>
      <c r="F8" s="31"/>
      <c r="G8" s="31"/>
      <c r="H8" s="32"/>
      <c r="I8" s="30"/>
      <c r="J8" s="31"/>
      <c r="K8" s="31"/>
      <c r="L8" s="31"/>
      <c r="M8" s="31"/>
      <c r="N8" s="32"/>
    </row>
    <row r="9" spans="1:14" ht="15">
      <c r="A9" s="7">
        <v>2</v>
      </c>
      <c r="B9" s="8" t="s">
        <v>58</v>
      </c>
      <c r="C9" s="16">
        <v>418409.11959394737</v>
      </c>
      <c r="D9" s="17">
        <v>301886.22657456755</v>
      </c>
      <c r="E9" s="17">
        <v>168011.5327072158</v>
      </c>
      <c r="F9" s="17">
        <v>16845.501051163566</v>
      </c>
      <c r="G9" s="17">
        <f aca="true" t="shared" si="0" ref="G9:G18">E9+F9</f>
        <v>184857.03375837937</v>
      </c>
      <c r="H9" s="18">
        <f aca="true" t="shared" si="1" ref="H9:H18">SUM(C9:F9)</f>
        <v>905152.3799268943</v>
      </c>
      <c r="I9" s="16">
        <v>407.9557399796322</v>
      </c>
      <c r="J9" s="17">
        <v>7518.500641573162</v>
      </c>
      <c r="K9" s="17">
        <v>8768.434095495002</v>
      </c>
      <c r="L9" s="17">
        <v>0</v>
      </c>
      <c r="M9" s="17">
        <f aca="true" t="shared" si="2" ref="M9:M18">K9+L9</f>
        <v>8768.434095495002</v>
      </c>
      <c r="N9" s="18">
        <f aca="true" t="shared" si="3" ref="N9:N18">SUM(I9:L9)</f>
        <v>16694.890477047797</v>
      </c>
    </row>
    <row r="10" spans="1:14" ht="15">
      <c r="A10" s="7">
        <v>3</v>
      </c>
      <c r="B10" s="8" t="s">
        <v>59</v>
      </c>
      <c r="C10" s="16">
        <v>421511.99482485437</v>
      </c>
      <c r="D10" s="17">
        <v>302426.9415909008</v>
      </c>
      <c r="E10" s="17">
        <v>168110.66494203493</v>
      </c>
      <c r="F10" s="17">
        <v>16967.1121024213</v>
      </c>
      <c r="G10" s="17">
        <f t="shared" si="0"/>
        <v>185077.77704445622</v>
      </c>
      <c r="H10" s="18">
        <f t="shared" si="1"/>
        <v>909016.7134602115</v>
      </c>
      <c r="I10" s="16">
        <v>412.0492260324095</v>
      </c>
      <c r="J10" s="17">
        <v>7533.899859386259</v>
      </c>
      <c r="K10" s="17">
        <v>8769.054094631789</v>
      </c>
      <c r="L10" s="17">
        <v>0</v>
      </c>
      <c r="M10" s="17">
        <f t="shared" si="2"/>
        <v>8769.054094631789</v>
      </c>
      <c r="N10" s="18">
        <f t="shared" si="3"/>
        <v>16715.00318005046</v>
      </c>
    </row>
    <row r="11" spans="1:14" ht="15">
      <c r="A11" s="7">
        <v>4</v>
      </c>
      <c r="B11" s="8" t="s">
        <v>60</v>
      </c>
      <c r="C11" s="16">
        <v>424031.8687261974</v>
      </c>
      <c r="D11" s="17">
        <v>302776.0737830774</v>
      </c>
      <c r="E11" s="17">
        <v>168168.00016470125</v>
      </c>
      <c r="F11" s="17">
        <v>17068.79830775257</v>
      </c>
      <c r="G11" s="17">
        <f t="shared" si="0"/>
        <v>185236.79847245384</v>
      </c>
      <c r="H11" s="18">
        <f t="shared" si="1"/>
        <v>912044.7409817287</v>
      </c>
      <c r="I11" s="16">
        <v>412.04922603240993</v>
      </c>
      <c r="J11" s="17">
        <v>7533.899859386259</v>
      </c>
      <c r="K11" s="17">
        <v>8769.048973658833</v>
      </c>
      <c r="L11" s="17">
        <v>0</v>
      </c>
      <c r="M11" s="17">
        <f t="shared" si="2"/>
        <v>8769.048973658833</v>
      </c>
      <c r="N11" s="18">
        <f t="shared" si="3"/>
        <v>16714.9980590775</v>
      </c>
    </row>
    <row r="12" spans="1:14" ht="15">
      <c r="A12" s="7">
        <v>5</v>
      </c>
      <c r="B12" s="5" t="s">
        <v>61</v>
      </c>
      <c r="C12" s="16">
        <v>424091.84669973893</v>
      </c>
      <c r="D12" s="17">
        <v>302805.69354357856</v>
      </c>
      <c r="E12" s="17">
        <v>168256.54966636462</v>
      </c>
      <c r="F12" s="17">
        <v>17068.806690705984</v>
      </c>
      <c r="G12" s="17">
        <f t="shared" si="0"/>
        <v>185325.35635707062</v>
      </c>
      <c r="H12" s="18">
        <f t="shared" si="1"/>
        <v>912222.896600388</v>
      </c>
      <c r="I12" s="16">
        <v>412.049226032409</v>
      </c>
      <c r="J12" s="17">
        <v>7533.899859386259</v>
      </c>
      <c r="K12" s="17">
        <v>8768.694008197457</v>
      </c>
      <c r="L12" s="17">
        <v>0</v>
      </c>
      <c r="M12" s="17">
        <f t="shared" si="2"/>
        <v>8768.694008197457</v>
      </c>
      <c r="N12" s="18">
        <f t="shared" si="3"/>
        <v>16714.643093616127</v>
      </c>
    </row>
    <row r="13" spans="1:14" ht="15">
      <c r="A13" s="7">
        <v>6</v>
      </c>
      <c r="B13" s="8" t="s">
        <v>62</v>
      </c>
      <c r="C13" s="16">
        <v>424091.84669973893</v>
      </c>
      <c r="D13" s="17">
        <v>302805.69354357856</v>
      </c>
      <c r="E13" s="17">
        <v>168256.54966636462</v>
      </c>
      <c r="F13" s="17">
        <v>17068.806690705984</v>
      </c>
      <c r="G13" s="17">
        <f t="shared" si="0"/>
        <v>185325.35635707062</v>
      </c>
      <c r="H13" s="18">
        <f t="shared" si="1"/>
        <v>912222.896600388</v>
      </c>
      <c r="I13" s="16">
        <v>418.0398273353294</v>
      </c>
      <c r="J13" s="17">
        <v>7609.8129169591175</v>
      </c>
      <c r="K13" s="17">
        <v>8855.200460667676</v>
      </c>
      <c r="L13" s="17">
        <v>0</v>
      </c>
      <c r="M13" s="17">
        <f t="shared" si="2"/>
        <v>8855.200460667676</v>
      </c>
      <c r="N13" s="18">
        <f t="shared" si="3"/>
        <v>16883.053204962125</v>
      </c>
    </row>
    <row r="14" spans="1:14" ht="15">
      <c r="A14" s="7">
        <v>7</v>
      </c>
      <c r="B14" s="8" t="s">
        <v>63</v>
      </c>
      <c r="C14" s="16">
        <v>424134.0845993634</v>
      </c>
      <c r="D14" s="17">
        <v>302826.93994983454</v>
      </c>
      <c r="E14" s="17">
        <v>168288.24167387982</v>
      </c>
      <c r="F14" s="17">
        <v>17072.997555623624</v>
      </c>
      <c r="G14" s="17">
        <f t="shared" si="0"/>
        <v>185361.23922950344</v>
      </c>
      <c r="H14" s="18">
        <f t="shared" si="1"/>
        <v>912322.2637787013</v>
      </c>
      <c r="I14" s="16">
        <v>418.0374391544183</v>
      </c>
      <c r="J14" s="17">
        <v>7609.772566676303</v>
      </c>
      <c r="K14" s="17">
        <v>8855.200460667676</v>
      </c>
      <c r="L14" s="17">
        <v>0</v>
      </c>
      <c r="M14" s="17">
        <f t="shared" si="2"/>
        <v>8855.200460667676</v>
      </c>
      <c r="N14" s="18">
        <f t="shared" si="3"/>
        <v>16883.010466498396</v>
      </c>
    </row>
    <row r="15" spans="1:14" ht="15">
      <c r="A15" s="9">
        <v>8</v>
      </c>
      <c r="B15" s="56" t="s">
        <v>71</v>
      </c>
      <c r="C15" s="19">
        <v>424904.4257964857</v>
      </c>
      <c r="D15" s="65">
        <v>305480.98801578704</v>
      </c>
      <c r="E15" s="65">
        <v>169057.0798078787</v>
      </c>
      <c r="F15" s="65">
        <v>17100.925967375042</v>
      </c>
      <c r="G15" s="65">
        <f t="shared" si="0"/>
        <v>186158.00577525375</v>
      </c>
      <c r="H15" s="20">
        <f t="shared" si="1"/>
        <v>916543.4195875265</v>
      </c>
      <c r="I15" s="19">
        <v>418.0374391544192</v>
      </c>
      <c r="J15" s="65">
        <v>7609.7725666763035</v>
      </c>
      <c r="K15" s="65">
        <v>8855.200460667676</v>
      </c>
      <c r="L15" s="65">
        <v>0</v>
      </c>
      <c r="M15" s="65">
        <f t="shared" si="2"/>
        <v>8855.200460667676</v>
      </c>
      <c r="N15" s="20">
        <f t="shared" si="3"/>
        <v>16883.0104664984</v>
      </c>
    </row>
    <row r="16" spans="1:14" ht="15">
      <c r="A16" s="7">
        <v>9</v>
      </c>
      <c r="B16" s="5" t="s">
        <v>72</v>
      </c>
      <c r="C16" s="16">
        <v>413316.58622922865</v>
      </c>
      <c r="D16" s="17">
        <v>298046.0362463826</v>
      </c>
      <c r="E16" s="17">
        <v>163451.15233920355</v>
      </c>
      <c r="F16" s="17">
        <v>16572.646849478373</v>
      </c>
      <c r="G16" s="17">
        <f t="shared" si="0"/>
        <v>180023.7991886819</v>
      </c>
      <c r="H16" s="18">
        <f t="shared" si="1"/>
        <v>891386.4216642932</v>
      </c>
      <c r="I16" s="16">
        <v>418.0374391544201</v>
      </c>
      <c r="J16" s="17">
        <v>7609.7725666763035</v>
      </c>
      <c r="K16" s="17">
        <v>8855.1856384153</v>
      </c>
      <c r="L16" s="17">
        <v>0</v>
      </c>
      <c r="M16" s="17">
        <f t="shared" si="2"/>
        <v>8855.1856384153</v>
      </c>
      <c r="N16" s="18">
        <f t="shared" si="3"/>
        <v>16882.995644246024</v>
      </c>
    </row>
    <row r="17" spans="1:14" ht="15">
      <c r="A17" s="7">
        <v>10</v>
      </c>
      <c r="B17" s="8" t="s">
        <v>73</v>
      </c>
      <c r="C17" s="16">
        <v>422630.07560409355</v>
      </c>
      <c r="D17" s="17">
        <v>307778.76036515285</v>
      </c>
      <c r="E17" s="17">
        <v>169152.85241206508</v>
      </c>
      <c r="F17" s="17">
        <v>16968.320770466547</v>
      </c>
      <c r="G17" s="17">
        <f t="shared" si="0"/>
        <v>186121.17318253164</v>
      </c>
      <c r="H17" s="18">
        <f t="shared" si="1"/>
        <v>916530.0091517781</v>
      </c>
      <c r="I17" s="16">
        <v>418.03743915441737</v>
      </c>
      <c r="J17" s="17">
        <v>7609.772566676302</v>
      </c>
      <c r="K17" s="17">
        <v>8855.1856384153</v>
      </c>
      <c r="L17" s="17">
        <v>0</v>
      </c>
      <c r="M17" s="17">
        <f t="shared" si="2"/>
        <v>8855.1856384153</v>
      </c>
      <c r="N17" s="18">
        <f t="shared" si="3"/>
        <v>16882.995644246017</v>
      </c>
    </row>
    <row r="18" spans="1:16" ht="15">
      <c r="A18" s="9">
        <v>12</v>
      </c>
      <c r="B18" s="125" t="s">
        <v>75</v>
      </c>
      <c r="C18" s="19">
        <v>421153.2168607346</v>
      </c>
      <c r="D18" s="65">
        <v>306180.0201184525</v>
      </c>
      <c r="E18" s="65">
        <v>168181.06927610532</v>
      </c>
      <c r="F18" s="65">
        <v>16901.366890050256</v>
      </c>
      <c r="G18" s="65">
        <f t="shared" si="0"/>
        <v>185082.4361661556</v>
      </c>
      <c r="H18" s="20">
        <f t="shared" si="1"/>
        <v>912415.6731453426</v>
      </c>
      <c r="I18" s="19">
        <v>419.45408892006344</v>
      </c>
      <c r="J18" s="65">
        <v>7707.217184042606</v>
      </c>
      <c r="K18" s="65">
        <v>8998.974272856514</v>
      </c>
      <c r="L18" s="65">
        <v>0</v>
      </c>
      <c r="M18" s="65">
        <f t="shared" si="2"/>
        <v>8998.974272856514</v>
      </c>
      <c r="N18" s="20">
        <f t="shared" si="3"/>
        <v>17125.645545819185</v>
      </c>
      <c r="P18" s="101"/>
    </row>
    <row r="19" spans="1:12" ht="15">
      <c r="A19" s="6"/>
      <c r="B19" s="5"/>
      <c r="C19" s="6"/>
      <c r="D19" s="21"/>
      <c r="E19" s="21"/>
      <c r="F19" s="21"/>
      <c r="G19" s="21"/>
      <c r="H19" s="5"/>
      <c r="I19" s="6"/>
      <c r="J19" s="21"/>
      <c r="K19" s="21"/>
      <c r="L19" s="21"/>
    </row>
    <row r="20" spans="1:14" ht="15">
      <c r="A20" s="33" t="s">
        <v>10</v>
      </c>
      <c r="B20" s="29"/>
      <c r="C20" s="34"/>
      <c r="D20" s="35"/>
      <c r="E20" s="35"/>
      <c r="F20" s="35"/>
      <c r="G20" s="35"/>
      <c r="H20" s="29"/>
      <c r="I20" s="34"/>
      <c r="J20" s="35"/>
      <c r="K20" s="35"/>
      <c r="L20" s="35"/>
      <c r="M20" s="35"/>
      <c r="N20" s="29"/>
    </row>
    <row r="21" spans="1:14" ht="15">
      <c r="A21" s="7">
        <v>3</v>
      </c>
      <c r="B21" s="5" t="str">
        <f aca="true" t="shared" si="4" ref="B21:B29">B10</f>
        <v>Scen 3: Impute 2010 CRs and calc rates for SFY12 using SFY11 formula and avg acuity</v>
      </c>
      <c r="C21" s="16">
        <f aca="true" t="shared" si="5" ref="C21:N21">C10-C$9</f>
        <v>3102.875230906997</v>
      </c>
      <c r="D21" s="17">
        <f t="shared" si="5"/>
        <v>540.7150163332699</v>
      </c>
      <c r="E21" s="17">
        <f t="shared" si="5"/>
        <v>99.132234819117</v>
      </c>
      <c r="F21" s="17">
        <f t="shared" si="5"/>
        <v>121.61105125773247</v>
      </c>
      <c r="G21" s="17">
        <f t="shared" si="5"/>
        <v>220.74328607684583</v>
      </c>
      <c r="H21" s="18">
        <f t="shared" si="5"/>
        <v>3864.3335333172</v>
      </c>
      <c r="I21" s="16">
        <f t="shared" si="5"/>
        <v>4.09348605277728</v>
      </c>
      <c r="J21" s="17">
        <f t="shared" si="5"/>
        <v>15.399217813096584</v>
      </c>
      <c r="K21" s="17">
        <f t="shared" si="5"/>
        <v>0.619999136786646</v>
      </c>
      <c r="L21" s="17">
        <f t="shared" si="5"/>
        <v>0</v>
      </c>
      <c r="M21" s="17">
        <f t="shared" si="5"/>
        <v>0.619999136786646</v>
      </c>
      <c r="N21" s="18">
        <f t="shared" si="5"/>
        <v>20.112703002661874</v>
      </c>
    </row>
    <row r="22" spans="1:14" ht="15">
      <c r="A22" s="7">
        <v>4</v>
      </c>
      <c r="B22" s="8" t="str">
        <f t="shared" si="4"/>
        <v>Scen 4: Update All-Res CMI to RUGable Qtly MDS Status in 2010 CR Period</v>
      </c>
      <c r="C22" s="16">
        <f aca="true" t="shared" si="6" ref="C22:L22">C11-C$9</f>
        <v>5622.749132250028</v>
      </c>
      <c r="D22" s="17">
        <f t="shared" si="6"/>
        <v>889.847208509862</v>
      </c>
      <c r="E22" s="17">
        <f t="shared" si="6"/>
        <v>156.46745748544345</v>
      </c>
      <c r="F22" s="17">
        <f t="shared" si="6"/>
        <v>223.29725658900497</v>
      </c>
      <c r="G22" s="17">
        <f aca="true" t="shared" si="7" ref="G22:H26">G11-G$9</f>
        <v>379.7647140744666</v>
      </c>
      <c r="H22" s="18">
        <f t="shared" si="7"/>
        <v>6892.361054834328</v>
      </c>
      <c r="I22" s="16">
        <f t="shared" si="6"/>
        <v>4.093486052777735</v>
      </c>
      <c r="J22" s="17">
        <f t="shared" si="6"/>
        <v>15.399217813096584</v>
      </c>
      <c r="K22" s="17">
        <f t="shared" si="6"/>
        <v>0.6148781638312357</v>
      </c>
      <c r="L22" s="17">
        <f t="shared" si="6"/>
        <v>0</v>
      </c>
      <c r="M22" s="17">
        <f aca="true" t="shared" si="8" ref="M22:N26">M11-M$9</f>
        <v>0.6148781638312357</v>
      </c>
      <c r="N22" s="18">
        <f t="shared" si="8"/>
        <v>20.107582029704645</v>
      </c>
    </row>
    <row r="23" spans="1:16" ht="15">
      <c r="A23" s="7">
        <v>5</v>
      </c>
      <c r="B23" s="5" t="str">
        <f t="shared" si="4"/>
        <v>Scen 5: Use 2010R2 data and update property valuation factors</v>
      </c>
      <c r="C23" s="16">
        <f aca="true" t="shared" si="9" ref="C23:L23">C12-C$9</f>
        <v>5682.727105791564</v>
      </c>
      <c r="D23" s="17">
        <f t="shared" si="9"/>
        <v>919.4669690110022</v>
      </c>
      <c r="E23" s="17">
        <f t="shared" si="9"/>
        <v>245.01695914880838</v>
      </c>
      <c r="F23" s="17">
        <f t="shared" si="9"/>
        <v>223.30563954241734</v>
      </c>
      <c r="G23" s="17">
        <f t="shared" si="7"/>
        <v>468.3225986912439</v>
      </c>
      <c r="H23" s="18">
        <f t="shared" si="7"/>
        <v>7070.516673493665</v>
      </c>
      <c r="I23" s="16">
        <f t="shared" si="9"/>
        <v>4.093486052776825</v>
      </c>
      <c r="J23" s="17">
        <f t="shared" si="9"/>
        <v>15.399217813096584</v>
      </c>
      <c r="K23" s="17">
        <f t="shared" si="9"/>
        <v>0.25991270245503983</v>
      </c>
      <c r="L23" s="17">
        <f t="shared" si="9"/>
        <v>0</v>
      </c>
      <c r="M23" s="17">
        <f t="shared" si="8"/>
        <v>0.25991270245503983</v>
      </c>
      <c r="N23" s="18">
        <f t="shared" si="8"/>
        <v>19.752616568330268</v>
      </c>
      <c r="P23" s="104"/>
    </row>
    <row r="24" spans="1:14" ht="15">
      <c r="A24" s="7">
        <v>6</v>
      </c>
      <c r="B24" s="8" t="str">
        <f t="shared" si="4"/>
        <v>Scen 6: Increase in ICF/MR MAI</v>
      </c>
      <c r="C24" s="16">
        <f aca="true" t="shared" si="10" ref="C24:L26">C13-C$9</f>
        <v>5682.727105791564</v>
      </c>
      <c r="D24" s="17">
        <f t="shared" si="10"/>
        <v>919.4669690110022</v>
      </c>
      <c r="E24" s="17">
        <f t="shared" si="10"/>
        <v>245.01695914880838</v>
      </c>
      <c r="F24" s="17">
        <f t="shared" si="10"/>
        <v>223.30563954241734</v>
      </c>
      <c r="G24" s="17">
        <f t="shared" si="7"/>
        <v>468.3225986912439</v>
      </c>
      <c r="H24" s="18">
        <f t="shared" si="7"/>
        <v>7070.516673493665</v>
      </c>
      <c r="I24" s="16">
        <f t="shared" si="10"/>
        <v>10.084087355697193</v>
      </c>
      <c r="J24" s="17">
        <f t="shared" si="10"/>
        <v>91.31227538595522</v>
      </c>
      <c r="K24" s="17">
        <f t="shared" si="10"/>
        <v>86.76636517267434</v>
      </c>
      <c r="L24" s="17">
        <f t="shared" si="10"/>
        <v>0</v>
      </c>
      <c r="M24" s="17">
        <f t="shared" si="8"/>
        <v>86.76636517267434</v>
      </c>
      <c r="N24" s="18">
        <f t="shared" si="8"/>
        <v>188.16272791432857</v>
      </c>
    </row>
    <row r="25" spans="1:14" ht="15">
      <c r="A25" s="7">
        <v>7</v>
      </c>
      <c r="B25" s="8" t="str">
        <f t="shared" si="4"/>
        <v>Scen 7: Preliminary SFY12 Labor Factors</v>
      </c>
      <c r="C25" s="16">
        <f t="shared" si="10"/>
        <v>5724.965005416016</v>
      </c>
      <c r="D25" s="17">
        <f t="shared" si="10"/>
        <v>940.7133752669906</v>
      </c>
      <c r="E25" s="17">
        <f t="shared" si="10"/>
        <v>276.7089666640095</v>
      </c>
      <c r="F25" s="17">
        <f t="shared" si="10"/>
        <v>227.49650446005762</v>
      </c>
      <c r="G25" s="17">
        <f t="shared" si="7"/>
        <v>504.2054711240635</v>
      </c>
      <c r="H25" s="18">
        <f t="shared" si="7"/>
        <v>7169.883851806982</v>
      </c>
      <c r="I25" s="16">
        <f t="shared" si="10"/>
        <v>10.081699174786081</v>
      </c>
      <c r="J25" s="17">
        <f t="shared" si="10"/>
        <v>91.27192510314035</v>
      </c>
      <c r="K25" s="17">
        <f t="shared" si="10"/>
        <v>86.76636517267434</v>
      </c>
      <c r="L25" s="17">
        <f t="shared" si="10"/>
        <v>0</v>
      </c>
      <c r="M25" s="17">
        <f t="shared" si="8"/>
        <v>86.76636517267434</v>
      </c>
      <c r="N25" s="18">
        <f t="shared" si="8"/>
        <v>188.11998945059895</v>
      </c>
    </row>
    <row r="26" spans="1:14" ht="15">
      <c r="A26" s="9">
        <v>8</v>
      </c>
      <c r="B26" s="56" t="str">
        <f t="shared" si="4"/>
        <v>Scen 8: Average SFY12 RUG-34 CMI</v>
      </c>
      <c r="C26" s="19">
        <f t="shared" si="10"/>
        <v>6495.3062025383115</v>
      </c>
      <c r="D26" s="65">
        <f t="shared" si="10"/>
        <v>3594.7614412194816</v>
      </c>
      <c r="E26" s="65">
        <f t="shared" si="10"/>
        <v>1045.547100662894</v>
      </c>
      <c r="F26" s="65">
        <f t="shared" si="10"/>
        <v>255.42491621147565</v>
      </c>
      <c r="G26" s="65">
        <f t="shared" si="7"/>
        <v>1300.9720168743806</v>
      </c>
      <c r="H26" s="20">
        <f t="shared" si="7"/>
        <v>11391.039660632145</v>
      </c>
      <c r="I26" s="19">
        <f t="shared" si="10"/>
        <v>10.08169917478699</v>
      </c>
      <c r="J26" s="65">
        <f t="shared" si="10"/>
        <v>91.27192510314126</v>
      </c>
      <c r="K26" s="65">
        <f t="shared" si="10"/>
        <v>86.76636517267434</v>
      </c>
      <c r="L26" s="65">
        <f t="shared" si="10"/>
        <v>0</v>
      </c>
      <c r="M26" s="65">
        <f t="shared" si="8"/>
        <v>86.76636517267434</v>
      </c>
      <c r="N26" s="20">
        <f t="shared" si="8"/>
        <v>188.1199894506026</v>
      </c>
    </row>
    <row r="27" spans="1:14" ht="15">
      <c r="A27" s="7">
        <v>9</v>
      </c>
      <c r="B27" s="5" t="str">
        <f t="shared" si="4"/>
        <v>Scen 9: Average SFY12 RUG-48 CMI</v>
      </c>
      <c r="C27" s="16">
        <f aca="true" t="shared" si="11" ref="C27:N27">C16-C$9</f>
        <v>-5092.533364718722</v>
      </c>
      <c r="D27" s="17">
        <f t="shared" si="11"/>
        <v>-3840.190328184981</v>
      </c>
      <c r="E27" s="17">
        <f t="shared" si="11"/>
        <v>-4560.3803680122655</v>
      </c>
      <c r="F27" s="17">
        <f t="shared" si="11"/>
        <v>-272.8542016851934</v>
      </c>
      <c r="G27" s="17">
        <f t="shared" si="11"/>
        <v>-4833.234569697466</v>
      </c>
      <c r="H27" s="18">
        <f t="shared" si="11"/>
        <v>-13765.958262601169</v>
      </c>
      <c r="I27" s="16">
        <f t="shared" si="11"/>
        <v>10.0816991747879</v>
      </c>
      <c r="J27" s="17">
        <f t="shared" si="11"/>
        <v>91.27192510314126</v>
      </c>
      <c r="K27" s="17">
        <f t="shared" si="11"/>
        <v>86.75154292029765</v>
      </c>
      <c r="L27" s="17">
        <f t="shared" si="11"/>
        <v>0</v>
      </c>
      <c r="M27" s="17">
        <f t="shared" si="11"/>
        <v>86.75154292029765</v>
      </c>
      <c r="N27" s="18">
        <f t="shared" si="11"/>
        <v>188.10516719822772</v>
      </c>
    </row>
    <row r="28" spans="1:14" ht="15">
      <c r="A28" s="7">
        <v>10</v>
      </c>
      <c r="B28" s="8" t="str">
        <f t="shared" si="4"/>
        <v>Scen 10: Adjust DC Bases to Offset RUG-48 Average Impact</v>
      </c>
      <c r="C28" s="16">
        <f aca="true" t="shared" si="12" ref="C28:N28">C17-C$9</f>
        <v>4220.956010146183</v>
      </c>
      <c r="D28" s="17">
        <f t="shared" si="12"/>
        <v>5892.533790585294</v>
      </c>
      <c r="E28" s="17">
        <f t="shared" si="12"/>
        <v>1141.319704849273</v>
      </c>
      <c r="F28" s="17">
        <f t="shared" si="12"/>
        <v>122.81971930298096</v>
      </c>
      <c r="G28" s="17">
        <f t="shared" si="12"/>
        <v>1264.1394241522648</v>
      </c>
      <c r="H28" s="18">
        <f t="shared" si="12"/>
        <v>11377.629224883742</v>
      </c>
      <c r="I28" s="16">
        <f t="shared" si="12"/>
        <v>10.081699174785172</v>
      </c>
      <c r="J28" s="17">
        <f t="shared" si="12"/>
        <v>91.27192510313944</v>
      </c>
      <c r="K28" s="17">
        <f t="shared" si="12"/>
        <v>86.75154292029765</v>
      </c>
      <c r="L28" s="17">
        <f t="shared" si="12"/>
        <v>0</v>
      </c>
      <c r="M28" s="17">
        <f t="shared" si="12"/>
        <v>86.75154292029765</v>
      </c>
      <c r="N28" s="18">
        <f t="shared" si="12"/>
        <v>188.10516719822044</v>
      </c>
    </row>
    <row r="29" spans="1:14" ht="15">
      <c r="A29" s="9">
        <v>12</v>
      </c>
      <c r="B29" s="125" t="str">
        <f t="shared" si="4"/>
        <v>Scen 12: Adjust DC Bases to Hit Expenditure Targets</v>
      </c>
      <c r="C29" s="19">
        <f aca="true" t="shared" si="13" ref="C29:N29">C18-C$9</f>
        <v>2744.0972667872556</v>
      </c>
      <c r="D29" s="65">
        <f t="shared" si="13"/>
        <v>4293.793543884938</v>
      </c>
      <c r="E29" s="65">
        <f t="shared" si="13"/>
        <v>169.53656888951082</v>
      </c>
      <c r="F29" s="65">
        <f t="shared" si="13"/>
        <v>55.865838886689744</v>
      </c>
      <c r="G29" s="65">
        <f t="shared" si="13"/>
        <v>225.4024077762151</v>
      </c>
      <c r="H29" s="20">
        <f t="shared" si="13"/>
        <v>7263.2932184482925</v>
      </c>
      <c r="I29" s="19">
        <f t="shared" si="13"/>
        <v>11.498348940431242</v>
      </c>
      <c r="J29" s="65">
        <f t="shared" si="13"/>
        <v>188.716542469444</v>
      </c>
      <c r="K29" s="65">
        <f t="shared" si="13"/>
        <v>230.54017736151218</v>
      </c>
      <c r="L29" s="65">
        <f t="shared" si="13"/>
        <v>0</v>
      </c>
      <c r="M29" s="65">
        <f t="shared" si="13"/>
        <v>230.54017736151218</v>
      </c>
      <c r="N29" s="20">
        <f t="shared" si="13"/>
        <v>430.7550687713883</v>
      </c>
    </row>
    <row r="30" spans="1:14" ht="15">
      <c r="A30" s="6"/>
      <c r="B30" s="5"/>
      <c r="C30" s="6"/>
      <c r="D30" s="21"/>
      <c r="E30" s="21"/>
      <c r="F30" s="21"/>
      <c r="G30" s="21"/>
      <c r="H30" s="5"/>
      <c r="I30" s="6"/>
      <c r="J30" s="21"/>
      <c r="K30" s="21"/>
      <c r="L30" s="21"/>
      <c r="M30" s="21"/>
      <c r="N30" s="5"/>
    </row>
    <row r="31" spans="1:14" ht="15">
      <c r="A31" s="28" t="s">
        <v>29</v>
      </c>
      <c r="B31" s="29"/>
      <c r="C31" s="34"/>
      <c r="D31" s="35"/>
      <c r="E31" s="35"/>
      <c r="F31" s="35"/>
      <c r="G31" s="35"/>
      <c r="H31" s="29"/>
      <c r="I31" s="34"/>
      <c r="J31" s="35"/>
      <c r="K31" s="35"/>
      <c r="L31" s="35"/>
      <c r="M31" s="35"/>
      <c r="N31" s="29"/>
    </row>
    <row r="32" spans="1:14" ht="15">
      <c r="A32" s="7">
        <v>2</v>
      </c>
      <c r="B32" s="8" t="str">
        <f aca="true" t="shared" si="14" ref="B32:B41">B9</f>
        <v>Scen 2: Base Scenario for SFY12 Model Year - SFY11 Average Rates</v>
      </c>
      <c r="C32" s="22">
        <f>C9/C$6*1000</f>
        <v>151.46884181061</v>
      </c>
      <c r="D32" s="23">
        <f aca="true" t="shared" si="15" ref="D32:N32">D9/D$6*1000</f>
        <v>151.24168937215774</v>
      </c>
      <c r="E32" s="23">
        <f t="shared" si="15"/>
        <v>147.20633458873797</v>
      </c>
      <c r="F32" s="23">
        <f t="shared" si="15"/>
        <v>147.6176155003343</v>
      </c>
      <c r="G32" s="23">
        <f t="shared" si="15"/>
        <v>147.24371853101928</v>
      </c>
      <c r="H32" s="24">
        <f t="shared" si="15"/>
        <v>150.511411769622</v>
      </c>
      <c r="I32" s="22">
        <f t="shared" si="15"/>
        <v>154.58540519167997</v>
      </c>
      <c r="J32" s="23">
        <f t="shared" si="15"/>
        <v>224.8229356325214</v>
      </c>
      <c r="K32" s="23">
        <f t="shared" si="15"/>
        <v>230.090875632952</v>
      </c>
      <c r="L32" s="23" t="e">
        <f t="shared" si="15"/>
        <v>#DIV/0!</v>
      </c>
      <c r="M32" s="23">
        <f t="shared" si="15"/>
        <v>230.090875632952</v>
      </c>
      <c r="N32" s="24">
        <f t="shared" si="15"/>
        <v>225.03043956213173</v>
      </c>
    </row>
    <row r="33" spans="1:14" ht="15">
      <c r="A33" s="7">
        <v>3</v>
      </c>
      <c r="B33" s="5" t="str">
        <f t="shared" si="14"/>
        <v>Scen 3: Impute 2010 CRs and calc rates for SFY12 using SFY11 formula and avg acuity</v>
      </c>
      <c r="C33" s="22">
        <f aca="true" t="shared" si="16" ref="C33:N33">C10/C$6*1000</f>
        <v>152.59211779934662</v>
      </c>
      <c r="D33" s="23">
        <f t="shared" si="16"/>
        <v>151.51258166647358</v>
      </c>
      <c r="E33" s="23">
        <f t="shared" si="16"/>
        <v>147.29319108419497</v>
      </c>
      <c r="F33" s="23">
        <f t="shared" si="16"/>
        <v>148.68329667839078</v>
      </c>
      <c r="G33" s="23">
        <f t="shared" si="16"/>
        <v>147.41954663786424</v>
      </c>
      <c r="H33" s="24">
        <f t="shared" si="16"/>
        <v>151.15398456570216</v>
      </c>
      <c r="I33" s="22">
        <f t="shared" si="16"/>
        <v>156.13653718493654</v>
      </c>
      <c r="J33" s="23">
        <f t="shared" si="16"/>
        <v>225.2834127303142</v>
      </c>
      <c r="K33" s="23">
        <f t="shared" si="16"/>
        <v>230.10714491692235</v>
      </c>
      <c r="L33" s="23" t="e">
        <f t="shared" si="16"/>
        <v>#DIV/0!</v>
      </c>
      <c r="M33" s="23">
        <f t="shared" si="16"/>
        <v>230.10714491692235</v>
      </c>
      <c r="N33" s="24">
        <f t="shared" si="16"/>
        <v>225.30153869894212</v>
      </c>
    </row>
    <row r="34" spans="1:14" ht="15">
      <c r="A34" s="7">
        <v>4</v>
      </c>
      <c r="B34" s="8" t="str">
        <f t="shared" si="14"/>
        <v>Scen 4: Update All-Res CMI to RUGable Qtly MDS Status in 2010 CR Period</v>
      </c>
      <c r="C34" s="22">
        <f aca="true" t="shared" si="17" ref="C34:N34">C11/C$6*1000</f>
        <v>153.50434070145644</v>
      </c>
      <c r="D34" s="23">
        <f t="shared" si="17"/>
        <v>151.6874930665667</v>
      </c>
      <c r="E34" s="23">
        <f t="shared" si="17"/>
        <v>147.34342637361556</v>
      </c>
      <c r="F34" s="23">
        <f t="shared" si="17"/>
        <v>149.57437585227163</v>
      </c>
      <c r="G34" s="23">
        <f t="shared" si="17"/>
        <v>147.5462115848691</v>
      </c>
      <c r="H34" s="24">
        <f t="shared" si="17"/>
        <v>151.65749392749342</v>
      </c>
      <c r="I34" s="22">
        <f t="shared" si="17"/>
        <v>156.1365371849367</v>
      </c>
      <c r="J34" s="23">
        <f t="shared" si="17"/>
        <v>225.2834127303142</v>
      </c>
      <c r="K34" s="23">
        <f t="shared" si="17"/>
        <v>230.10701053840748</v>
      </c>
      <c r="L34" s="23" t="e">
        <f t="shared" si="17"/>
        <v>#DIV/0!</v>
      </c>
      <c r="M34" s="23">
        <f t="shared" si="17"/>
        <v>230.10701053840748</v>
      </c>
      <c r="N34" s="24">
        <f t="shared" si="17"/>
        <v>225.30146967334431</v>
      </c>
    </row>
    <row r="35" spans="1:14" ht="15">
      <c r="A35" s="7">
        <v>5</v>
      </c>
      <c r="B35" s="5" t="str">
        <f t="shared" si="14"/>
        <v>Scen 5: Use 2010R2 data and update property valuation factors</v>
      </c>
      <c r="C35" s="22">
        <f aca="true" t="shared" si="18" ref="C35:N35">C12/C$6*1000</f>
        <v>153.52605340742065</v>
      </c>
      <c r="D35" s="23">
        <f t="shared" si="18"/>
        <v>151.70233224180112</v>
      </c>
      <c r="E35" s="23">
        <f t="shared" si="18"/>
        <v>147.42101061655106</v>
      </c>
      <c r="F35" s="23">
        <f t="shared" si="18"/>
        <v>149.57444931233613</v>
      </c>
      <c r="G35" s="23">
        <f t="shared" si="18"/>
        <v>147.61675037893662</v>
      </c>
      <c r="H35" s="24">
        <f t="shared" si="18"/>
        <v>151.68711817007815</v>
      </c>
      <c r="I35" s="22">
        <f t="shared" si="18"/>
        <v>156.13653718493637</v>
      </c>
      <c r="J35" s="23">
        <f t="shared" si="18"/>
        <v>225.2834127303142</v>
      </c>
      <c r="K35" s="23">
        <f t="shared" si="18"/>
        <v>230.09769595464738</v>
      </c>
      <c r="L35" s="23" t="e">
        <f t="shared" si="18"/>
        <v>#DIV/0!</v>
      </c>
      <c r="M35" s="23">
        <f t="shared" si="18"/>
        <v>230.09769595464738</v>
      </c>
      <c r="N35" s="24">
        <f t="shared" si="18"/>
        <v>225.29668509366036</v>
      </c>
    </row>
    <row r="36" spans="1:14" ht="15">
      <c r="A36" s="7">
        <v>6</v>
      </c>
      <c r="B36" s="8" t="str">
        <f t="shared" si="14"/>
        <v>Scen 6: Increase in ICF/MR MAI</v>
      </c>
      <c r="C36" s="22">
        <f aca="true" t="shared" si="19" ref="C36:N36">C13/C$6*1000</f>
        <v>153.52605340742065</v>
      </c>
      <c r="D36" s="23">
        <f t="shared" si="19"/>
        <v>151.70233224180112</v>
      </c>
      <c r="E36" s="23">
        <f t="shared" si="19"/>
        <v>147.42101061655106</v>
      </c>
      <c r="F36" s="23">
        <f t="shared" si="19"/>
        <v>149.57444931233613</v>
      </c>
      <c r="G36" s="23">
        <f t="shared" si="19"/>
        <v>147.61675037893662</v>
      </c>
      <c r="H36" s="24">
        <f t="shared" si="19"/>
        <v>151.68711817007815</v>
      </c>
      <c r="I36" s="22">
        <f t="shared" si="19"/>
        <v>158.40653718493633</v>
      </c>
      <c r="J36" s="23">
        <f t="shared" si="19"/>
        <v>227.55341273031416</v>
      </c>
      <c r="K36" s="23">
        <f t="shared" si="19"/>
        <v>232.36769595464733</v>
      </c>
      <c r="L36" s="23" t="e">
        <f t="shared" si="19"/>
        <v>#DIV/0!</v>
      </c>
      <c r="M36" s="23">
        <f t="shared" si="19"/>
        <v>232.36769595464733</v>
      </c>
      <c r="N36" s="24">
        <f t="shared" si="19"/>
        <v>227.56668509366028</v>
      </c>
    </row>
    <row r="37" spans="1:14" ht="15">
      <c r="A37" s="7">
        <v>7</v>
      </c>
      <c r="B37" s="5" t="str">
        <f t="shared" si="14"/>
        <v>Scen 7: Preliminary SFY12 Labor Factors</v>
      </c>
      <c r="C37" s="22">
        <f aca="true" t="shared" si="20" ref="C37:N37">C14/C$6*1000</f>
        <v>153.54134400563427</v>
      </c>
      <c r="D37" s="23">
        <f t="shared" si="20"/>
        <v>151.7129764583714</v>
      </c>
      <c r="E37" s="23">
        <f t="shared" si="20"/>
        <v>147.44877814052336</v>
      </c>
      <c r="F37" s="23">
        <f t="shared" si="20"/>
        <v>149.6111739834603</v>
      </c>
      <c r="G37" s="23">
        <f t="shared" si="20"/>
        <v>147.64533207507858</v>
      </c>
      <c r="H37" s="24">
        <f t="shared" si="20"/>
        <v>151.70364123804237</v>
      </c>
      <c r="I37" s="22">
        <f t="shared" si="20"/>
        <v>158.4056322389394</v>
      </c>
      <c r="J37" s="23">
        <f t="shared" si="20"/>
        <v>227.55220615077542</v>
      </c>
      <c r="K37" s="23">
        <f t="shared" si="20"/>
        <v>232.36769595464733</v>
      </c>
      <c r="L37" s="23" t="e">
        <f t="shared" si="20"/>
        <v>#DIV/0!</v>
      </c>
      <c r="M37" s="23">
        <f t="shared" si="20"/>
        <v>232.36769595464733</v>
      </c>
      <c r="N37" s="24">
        <f t="shared" si="20"/>
        <v>227.56610902187998</v>
      </c>
    </row>
    <row r="38" spans="1:14" ht="15">
      <c r="A38" s="9">
        <v>8</v>
      </c>
      <c r="B38" s="56" t="str">
        <f t="shared" si="14"/>
        <v>Scen 8: Average SFY12 RUG-34 CMI</v>
      </c>
      <c r="C38" s="25">
        <f aca="true" t="shared" si="21" ref="C38:N38">C15/C$6*1000</f>
        <v>153.82021624685203</v>
      </c>
      <c r="D38" s="1">
        <f t="shared" si="21"/>
        <v>153.04262543813502</v>
      </c>
      <c r="E38" s="1">
        <f t="shared" si="21"/>
        <v>148.12240953816826</v>
      </c>
      <c r="F38" s="1">
        <f t="shared" si="21"/>
        <v>149.85591146766657</v>
      </c>
      <c r="G38" s="1">
        <f t="shared" si="21"/>
        <v>148.27997857249417</v>
      </c>
      <c r="H38" s="26">
        <f t="shared" si="21"/>
        <v>152.40554749623186</v>
      </c>
      <c r="I38" s="25">
        <f t="shared" si="21"/>
        <v>158.40563223893975</v>
      </c>
      <c r="J38" s="1">
        <f t="shared" si="21"/>
        <v>227.55220615077545</v>
      </c>
      <c r="K38" s="1">
        <f t="shared" si="21"/>
        <v>232.36769595464733</v>
      </c>
      <c r="L38" s="1" t="e">
        <f t="shared" si="21"/>
        <v>#DIV/0!</v>
      </c>
      <c r="M38" s="1">
        <f t="shared" si="21"/>
        <v>232.36769595464733</v>
      </c>
      <c r="N38" s="26">
        <f t="shared" si="21"/>
        <v>227.56610902188004</v>
      </c>
    </row>
    <row r="39" spans="1:14" ht="15">
      <c r="A39" s="10">
        <v>9</v>
      </c>
      <c r="B39" s="4" t="str">
        <f t="shared" si="14"/>
        <v>Scen 9: Average SFY12 RUG-48 CMI</v>
      </c>
      <c r="C39" s="110">
        <f aca="true" t="shared" si="22" ref="C39:N39">C16/C$6*1000</f>
        <v>149.62528703488135</v>
      </c>
      <c r="D39" s="111">
        <f t="shared" si="22"/>
        <v>149.31779612490533</v>
      </c>
      <c r="E39" s="111">
        <f t="shared" si="22"/>
        <v>143.21067507960538</v>
      </c>
      <c r="F39" s="111">
        <f t="shared" si="22"/>
        <v>145.22658619763314</v>
      </c>
      <c r="G39" s="111">
        <f t="shared" si="22"/>
        <v>143.3939140842752</v>
      </c>
      <c r="H39" s="112">
        <f t="shared" si="22"/>
        <v>148.22236756180237</v>
      </c>
      <c r="I39" s="110">
        <f t="shared" si="22"/>
        <v>158.40563223894011</v>
      </c>
      <c r="J39" s="111">
        <f t="shared" si="22"/>
        <v>227.55220615077545</v>
      </c>
      <c r="K39" s="111">
        <f t="shared" si="22"/>
        <v>232.3673070066332</v>
      </c>
      <c r="L39" s="111" t="e">
        <f t="shared" si="22"/>
        <v>#DIV/0!</v>
      </c>
      <c r="M39" s="111">
        <f t="shared" si="22"/>
        <v>232.3673070066332</v>
      </c>
      <c r="N39" s="112">
        <f t="shared" si="22"/>
        <v>227.56590923273066</v>
      </c>
    </row>
    <row r="40" spans="1:14" ht="15">
      <c r="A40" s="7">
        <v>10</v>
      </c>
      <c r="B40" s="8" t="str">
        <f t="shared" si="14"/>
        <v>Scen 10: Adjust DC Bases to Offset RUG-48 Average Impact</v>
      </c>
      <c r="C40" s="22">
        <f aca="true" t="shared" si="23" ref="C40:N40">C17/C$6*1000</f>
        <v>152.99687570913218</v>
      </c>
      <c r="D40" s="23">
        <f t="shared" si="23"/>
        <v>154.19378419040382</v>
      </c>
      <c r="E40" s="23">
        <f t="shared" si="23"/>
        <v>148.20632243265305</v>
      </c>
      <c r="F40" s="23">
        <f t="shared" si="23"/>
        <v>148.69388827161376</v>
      </c>
      <c r="G40" s="23">
        <f t="shared" si="23"/>
        <v>148.2506403979856</v>
      </c>
      <c r="H40" s="24">
        <f t="shared" si="23"/>
        <v>152.40331756935802</v>
      </c>
      <c r="I40" s="22">
        <f t="shared" si="23"/>
        <v>158.4056322389391</v>
      </c>
      <c r="J40" s="23">
        <f t="shared" si="23"/>
        <v>227.5522061507754</v>
      </c>
      <c r="K40" s="23">
        <f t="shared" si="23"/>
        <v>232.3673070066332</v>
      </c>
      <c r="L40" s="23" t="e">
        <f t="shared" si="23"/>
        <v>#DIV/0!</v>
      </c>
      <c r="M40" s="23">
        <f t="shared" si="23"/>
        <v>232.3673070066332</v>
      </c>
      <c r="N40" s="24">
        <f t="shared" si="23"/>
        <v>227.56590923273058</v>
      </c>
    </row>
    <row r="41" spans="1:14" ht="15">
      <c r="A41" s="9">
        <v>12</v>
      </c>
      <c r="B41" s="125" t="str">
        <f t="shared" si="14"/>
        <v>Scen 12: Adjust DC Bases to Hit Expenditure Targets</v>
      </c>
      <c r="C41" s="68">
        <f aca="true" t="shared" si="24" ref="C41:N41">C18/C$6*1000</f>
        <v>152.46223611143043</v>
      </c>
      <c r="D41" s="69">
        <f t="shared" si="24"/>
        <v>153.3928328567778</v>
      </c>
      <c r="E41" s="69">
        <f t="shared" si="24"/>
        <v>147.35487711128292</v>
      </c>
      <c r="F41" s="69">
        <f t="shared" si="24"/>
        <v>148.1071694708177</v>
      </c>
      <c r="G41" s="69">
        <f t="shared" si="24"/>
        <v>147.42325775661453</v>
      </c>
      <c r="H41" s="70">
        <f t="shared" si="24"/>
        <v>151.71917362348097</v>
      </c>
      <c r="I41" s="68">
        <f t="shared" si="24"/>
        <v>158.94243894754925</v>
      </c>
      <c r="J41" s="69">
        <f t="shared" si="24"/>
        <v>230.46605639596157</v>
      </c>
      <c r="K41" s="69">
        <f t="shared" si="24"/>
        <v>236.14043826864994</v>
      </c>
      <c r="L41" s="69" t="e">
        <f t="shared" si="24"/>
        <v>#DIV/0!</v>
      </c>
      <c r="M41" s="69">
        <f t="shared" si="24"/>
        <v>236.14043826864994</v>
      </c>
      <c r="N41" s="70">
        <f t="shared" si="24"/>
        <v>230.83658741332644</v>
      </c>
    </row>
    <row r="42" spans="1:14" ht="15">
      <c r="A42" s="6"/>
      <c r="B42" s="5"/>
      <c r="C42" s="6"/>
      <c r="D42" s="21"/>
      <c r="E42" s="21"/>
      <c r="F42" s="21"/>
      <c r="G42" s="21"/>
      <c r="H42" s="5"/>
      <c r="I42" s="6"/>
      <c r="J42" s="21"/>
      <c r="K42" s="21"/>
      <c r="L42" s="21"/>
      <c r="M42" s="21"/>
      <c r="N42" s="5"/>
    </row>
    <row r="43" spans="1:14" ht="15">
      <c r="A43" s="28" t="s">
        <v>14</v>
      </c>
      <c r="B43" s="29"/>
      <c r="C43" s="34"/>
      <c r="D43" s="35"/>
      <c r="E43" s="35"/>
      <c r="F43" s="35"/>
      <c r="G43" s="35"/>
      <c r="H43" s="29"/>
      <c r="I43" s="34"/>
      <c r="J43" s="35"/>
      <c r="K43" s="35"/>
      <c r="L43" s="35"/>
      <c r="M43" s="35"/>
      <c r="N43" s="29"/>
    </row>
    <row r="44" spans="1:14" ht="15">
      <c r="A44" s="7">
        <v>3</v>
      </c>
      <c r="B44" s="5" t="str">
        <f aca="true" t="shared" si="25" ref="B44:B52">B10</f>
        <v>Scen 3: Impute 2010 CRs and calc rates for SFY12 using SFY11 formula and avg acuity</v>
      </c>
      <c r="C44" s="22">
        <f aca="true" t="shared" si="26" ref="C44:K44">C21/C$6*1000</f>
        <v>1.1232759887366246</v>
      </c>
      <c r="D44" s="23">
        <f t="shared" si="26"/>
        <v>0.27089229431584494</v>
      </c>
      <c r="E44" s="23">
        <f t="shared" si="26"/>
        <v>0.08685649545702608</v>
      </c>
      <c r="F44" s="23">
        <f t="shared" si="26"/>
        <v>1.0656811780564646</v>
      </c>
      <c r="G44" s="23">
        <f t="shared" si="26"/>
        <v>0.1758281068449635</v>
      </c>
      <c r="H44" s="24">
        <f t="shared" si="26"/>
        <v>0.6425727960801904</v>
      </c>
      <c r="I44" s="22">
        <f t="shared" si="26"/>
        <v>1.5511319932565715</v>
      </c>
      <c r="J44" s="23">
        <f t="shared" si="26"/>
        <v>0.4604770977928101</v>
      </c>
      <c r="K44" s="23">
        <f t="shared" si="26"/>
        <v>0.016269283970350743</v>
      </c>
      <c r="L44" s="23"/>
      <c r="M44" s="23">
        <f aca="true" t="shared" si="27" ref="M44:N46">M21/M$6*1000</f>
        <v>0.016269283970350743</v>
      </c>
      <c r="N44" s="24">
        <f t="shared" si="27"/>
        <v>0.27109913681038705</v>
      </c>
    </row>
    <row r="45" spans="1:14" ht="15">
      <c r="A45" s="7">
        <v>4</v>
      </c>
      <c r="B45" s="8" t="str">
        <f t="shared" si="25"/>
        <v>Scen 4: Update All-Res CMI to RUGable Qtly MDS Status in 2010 CR Period</v>
      </c>
      <c r="C45" s="22">
        <f aca="true" t="shared" si="28" ref="C45:K45">C22/C$6*1000</f>
        <v>2.035498890846461</v>
      </c>
      <c r="D45" s="23">
        <f t="shared" si="28"/>
        <v>0.4458036944089853</v>
      </c>
      <c r="E45" s="23">
        <f t="shared" si="28"/>
        <v>0.1370917848775871</v>
      </c>
      <c r="F45" s="23">
        <f t="shared" si="28"/>
        <v>1.956760351937315</v>
      </c>
      <c r="G45" s="23">
        <f t="shared" si="28"/>
        <v>0.3024930538498326</v>
      </c>
      <c r="H45" s="24">
        <f t="shared" si="28"/>
        <v>1.1460821578714302</v>
      </c>
      <c r="I45" s="22">
        <f t="shared" si="28"/>
        <v>1.5511319932567438</v>
      </c>
      <c r="J45" s="23">
        <f t="shared" si="28"/>
        <v>0.4604770977928101</v>
      </c>
      <c r="K45" s="23">
        <f t="shared" si="28"/>
        <v>0.016134905455490445</v>
      </c>
      <c r="L45" s="23"/>
      <c r="M45" s="23">
        <f t="shared" si="27"/>
        <v>0.016134905455490445</v>
      </c>
      <c r="N45" s="24">
        <f t="shared" si="27"/>
        <v>0.27103011121257703</v>
      </c>
    </row>
    <row r="46" spans="1:14" ht="15">
      <c r="A46" s="7">
        <v>5</v>
      </c>
      <c r="B46" s="5" t="str">
        <f t="shared" si="25"/>
        <v>Scen 5: Use 2010R2 data and update property valuation factors</v>
      </c>
      <c r="C46" s="22">
        <f aca="true" t="shared" si="29" ref="C46:K46">C23/C$6*1000</f>
        <v>2.0572115968106623</v>
      </c>
      <c r="D46" s="23">
        <f t="shared" si="29"/>
        <v>0.46064286964338325</v>
      </c>
      <c r="E46" s="23">
        <f t="shared" si="29"/>
        <v>0.2146760278130929</v>
      </c>
      <c r="F46" s="23">
        <f t="shared" si="29"/>
        <v>1.956833812001805</v>
      </c>
      <c r="G46" s="23">
        <f t="shared" si="29"/>
        <v>0.37303184791735433</v>
      </c>
      <c r="H46" s="24">
        <f t="shared" si="29"/>
        <v>1.1757064004561681</v>
      </c>
      <c r="I46" s="22">
        <f t="shared" si="29"/>
        <v>1.5511319932563992</v>
      </c>
      <c r="J46" s="23">
        <f t="shared" si="29"/>
        <v>0.4604770977928101</v>
      </c>
      <c r="K46" s="23">
        <f t="shared" si="29"/>
        <v>0.006820321695379174</v>
      </c>
      <c r="L46" s="23"/>
      <c r="M46" s="23">
        <f t="shared" si="27"/>
        <v>0.006820321695379174</v>
      </c>
      <c r="N46" s="24">
        <f t="shared" si="27"/>
        <v>0.2662455315286152</v>
      </c>
    </row>
    <row r="47" spans="1:14" ht="15">
      <c r="A47" s="7">
        <v>6</v>
      </c>
      <c r="B47" s="8" t="str">
        <f t="shared" si="25"/>
        <v>Scen 6: Increase in ICF/MR MAI</v>
      </c>
      <c r="C47" s="22">
        <f aca="true" t="shared" si="30" ref="C47:K47">C24/C$6*1000</f>
        <v>2.0572115968106623</v>
      </c>
      <c r="D47" s="23">
        <f t="shared" si="30"/>
        <v>0.46064286964338325</v>
      </c>
      <c r="E47" s="23">
        <f t="shared" si="30"/>
        <v>0.2146760278130929</v>
      </c>
      <c r="F47" s="23">
        <f t="shared" si="30"/>
        <v>1.956833812001805</v>
      </c>
      <c r="G47" s="23">
        <f t="shared" si="30"/>
        <v>0.37303184791735433</v>
      </c>
      <c r="H47" s="24">
        <f t="shared" si="30"/>
        <v>1.1757064004561681</v>
      </c>
      <c r="I47" s="22">
        <f t="shared" si="30"/>
        <v>3.8211319932563645</v>
      </c>
      <c r="J47" s="23">
        <f t="shared" si="30"/>
        <v>2.730477097792758</v>
      </c>
      <c r="K47" s="23">
        <f t="shared" si="30"/>
        <v>2.2768203216953165</v>
      </c>
      <c r="L47" s="23"/>
      <c r="M47" s="23">
        <f aca="true" t="shared" si="31" ref="M47:N49">M24/M$6*1000</f>
        <v>2.2768203216953165</v>
      </c>
      <c r="N47" s="24">
        <f t="shared" si="31"/>
        <v>2.536245531528558</v>
      </c>
    </row>
    <row r="48" spans="1:14" ht="15">
      <c r="A48" s="7">
        <v>7</v>
      </c>
      <c r="B48" s="5" t="str">
        <f t="shared" si="25"/>
        <v>Scen 7: Preliminary SFY12 Labor Factors</v>
      </c>
      <c r="C48" s="22">
        <f aca="true" t="shared" si="32" ref="C48:K48">C25/C$6*1000</f>
        <v>2.0725021950242897</v>
      </c>
      <c r="D48" s="23">
        <f t="shared" si="32"/>
        <v>0.47128708621365845</v>
      </c>
      <c r="E48" s="23">
        <f t="shared" si="32"/>
        <v>0.2424435517853989</v>
      </c>
      <c r="F48" s="23">
        <f t="shared" si="32"/>
        <v>1.9935584831259883</v>
      </c>
      <c r="G48" s="23">
        <f t="shared" si="32"/>
        <v>0.4016135440592955</v>
      </c>
      <c r="H48" s="24">
        <f t="shared" si="32"/>
        <v>1.1922294684203811</v>
      </c>
      <c r="I48" s="22">
        <f t="shared" si="32"/>
        <v>3.8202270472594444</v>
      </c>
      <c r="J48" s="23">
        <f t="shared" si="32"/>
        <v>2.729270518254029</v>
      </c>
      <c r="K48" s="23">
        <f t="shared" si="32"/>
        <v>2.2768203216953165</v>
      </c>
      <c r="L48" s="23"/>
      <c r="M48" s="23">
        <f t="shared" si="31"/>
        <v>2.2768203216953165</v>
      </c>
      <c r="N48" s="24">
        <f t="shared" si="31"/>
        <v>2.5356694597482425</v>
      </c>
    </row>
    <row r="49" spans="1:14" ht="15">
      <c r="A49" s="9">
        <v>8</v>
      </c>
      <c r="B49" s="56" t="str">
        <f t="shared" si="25"/>
        <v>Scen 8: Average SFY12 RUG-34 CMI</v>
      </c>
      <c r="C49" s="25">
        <f aca="true" t="shared" si="33" ref="C49:K49">C26/C$6*1000</f>
        <v>2.3513744362420472</v>
      </c>
      <c r="D49" s="1">
        <f t="shared" si="33"/>
        <v>1.800936065977278</v>
      </c>
      <c r="E49" s="1">
        <f t="shared" si="33"/>
        <v>0.9160749494302819</v>
      </c>
      <c r="F49" s="1">
        <f t="shared" si="33"/>
        <v>2.238295967332258</v>
      </c>
      <c r="G49" s="1">
        <f t="shared" si="33"/>
        <v>1.0362600414748924</v>
      </c>
      <c r="H49" s="26">
        <f t="shared" si="33"/>
        <v>1.8941357266098906</v>
      </c>
      <c r="I49" s="25">
        <f t="shared" si="33"/>
        <v>3.820227047259789</v>
      </c>
      <c r="J49" s="1">
        <f t="shared" si="33"/>
        <v>2.7292705182540566</v>
      </c>
      <c r="K49" s="1">
        <f t="shared" si="33"/>
        <v>2.2768203216953165</v>
      </c>
      <c r="L49" s="1"/>
      <c r="M49" s="1">
        <f t="shared" si="31"/>
        <v>2.2768203216953165</v>
      </c>
      <c r="N49" s="26">
        <f t="shared" si="31"/>
        <v>2.5356694597482914</v>
      </c>
    </row>
    <row r="50" spans="1:14" ht="15">
      <c r="A50" s="10">
        <v>9</v>
      </c>
      <c r="B50" s="113" t="str">
        <f t="shared" si="25"/>
        <v>Scen 9: Average SFY12 RUG-48 CMI</v>
      </c>
      <c r="C50" s="110">
        <f aca="true" t="shared" si="34" ref="C50:K50">C27/C$6*1000</f>
        <v>-1.8435547757286308</v>
      </c>
      <c r="D50" s="111">
        <f t="shared" si="34"/>
        <v>-1.923893247252396</v>
      </c>
      <c r="E50" s="111">
        <f t="shared" si="34"/>
        <v>-3.995659509132575</v>
      </c>
      <c r="F50" s="111">
        <f t="shared" si="34"/>
        <v>-2.391029302701176</v>
      </c>
      <c r="G50" s="111">
        <f t="shared" si="34"/>
        <v>-3.84980444674406</v>
      </c>
      <c r="H50" s="112">
        <f t="shared" si="34"/>
        <v>-2.2890442078196123</v>
      </c>
      <c r="I50" s="110">
        <f t="shared" si="34"/>
        <v>3.8202270472601336</v>
      </c>
      <c r="J50" s="111">
        <f t="shared" si="34"/>
        <v>2.7292705182540566</v>
      </c>
      <c r="K50" s="111">
        <f t="shared" si="34"/>
        <v>2.2764313736812167</v>
      </c>
      <c r="L50" s="111"/>
      <c r="M50" s="111">
        <f aca="true" t="shared" si="35" ref="M50:N52">M27/M$6*1000</f>
        <v>2.2764313736812167</v>
      </c>
      <c r="N50" s="112">
        <f t="shared" si="35"/>
        <v>2.5354696705989226</v>
      </c>
    </row>
    <row r="51" spans="1:14" ht="15">
      <c r="A51" s="7">
        <v>10</v>
      </c>
      <c r="B51" s="8" t="str">
        <f t="shared" si="25"/>
        <v>Scen 10: Adjust DC Bases to Offset RUG-48 Average Impact</v>
      </c>
      <c r="C51" s="22">
        <f aca="true" t="shared" si="36" ref="C51:K51">C28/C$6*1000</f>
        <v>1.5280338985221877</v>
      </c>
      <c r="D51" s="23">
        <f t="shared" si="36"/>
        <v>2.952094818246084</v>
      </c>
      <c r="E51" s="23">
        <f t="shared" si="36"/>
        <v>0.99998784391511</v>
      </c>
      <c r="F51" s="23">
        <f t="shared" si="36"/>
        <v>1.076272771279434</v>
      </c>
      <c r="G51" s="23">
        <f t="shared" si="36"/>
        <v>1.0069218669663063</v>
      </c>
      <c r="H51" s="24">
        <f t="shared" si="36"/>
        <v>1.89190579973603</v>
      </c>
      <c r="I51" s="22">
        <f t="shared" si="36"/>
        <v>3.8202270472591</v>
      </c>
      <c r="J51" s="23">
        <f t="shared" si="36"/>
        <v>2.729270518254002</v>
      </c>
      <c r="K51" s="23">
        <f t="shared" si="36"/>
        <v>2.2764313736812167</v>
      </c>
      <c r="L51" s="23"/>
      <c r="M51" s="23">
        <f t="shared" si="35"/>
        <v>2.2764313736812167</v>
      </c>
      <c r="N51" s="24">
        <f t="shared" si="35"/>
        <v>2.5354696705988244</v>
      </c>
    </row>
    <row r="52" spans="1:14" ht="15">
      <c r="A52" s="9">
        <v>12</v>
      </c>
      <c r="B52" s="56" t="str">
        <f t="shared" si="25"/>
        <v>Scen 12: Adjust DC Bases to Hit Expenditure Targets</v>
      </c>
      <c r="C52" s="25">
        <f aca="true" t="shared" si="37" ref="C52:K52">C29/C$6*1000</f>
        <v>0.993394300820442</v>
      </c>
      <c r="D52" s="1">
        <f t="shared" si="37"/>
        <v>2.1511434846200794</v>
      </c>
      <c r="E52" s="1">
        <f t="shared" si="37"/>
        <v>0.14854252254496633</v>
      </c>
      <c r="F52" s="1">
        <f t="shared" si="37"/>
        <v>0.48955397048337507</v>
      </c>
      <c r="G52" s="1">
        <f t="shared" si="37"/>
        <v>0.1795392255952534</v>
      </c>
      <c r="H52" s="26">
        <f t="shared" si="37"/>
        <v>1.2077618538589803</v>
      </c>
      <c r="I52" s="25">
        <f t="shared" si="37"/>
        <v>4.357033755869279</v>
      </c>
      <c r="J52" s="1">
        <f t="shared" si="37"/>
        <v>5.6431207634401765</v>
      </c>
      <c r="K52" s="1">
        <f t="shared" si="37"/>
        <v>6.049562635697937</v>
      </c>
      <c r="L52" s="1"/>
      <c r="M52" s="1">
        <f t="shared" si="35"/>
        <v>6.049562635697937</v>
      </c>
      <c r="N52" s="26">
        <f t="shared" si="35"/>
        <v>5.806147851194692</v>
      </c>
    </row>
    <row r="53" spans="1:14" ht="15">
      <c r="A53" s="6"/>
      <c r="B53" s="5"/>
      <c r="C53" s="6"/>
      <c r="D53" s="21"/>
      <c r="E53" s="21"/>
      <c r="F53" s="21"/>
      <c r="G53" s="21"/>
      <c r="H53" s="5"/>
      <c r="I53" s="6"/>
      <c r="J53" s="21"/>
      <c r="K53" s="21"/>
      <c r="L53" s="21"/>
      <c r="M53" s="21"/>
      <c r="N53" s="5"/>
    </row>
    <row r="54" spans="1:14" ht="15">
      <c r="A54" s="28" t="s">
        <v>19</v>
      </c>
      <c r="B54" s="29"/>
      <c r="C54" s="34"/>
      <c r="D54" s="35"/>
      <c r="E54" s="35"/>
      <c r="F54" s="35"/>
      <c r="G54" s="35"/>
      <c r="H54" s="29"/>
      <c r="I54" s="34"/>
      <c r="J54" s="35"/>
      <c r="K54" s="35"/>
      <c r="L54" s="35"/>
      <c r="M54" s="35"/>
      <c r="N54" s="29"/>
    </row>
    <row r="55" spans="1:14" ht="15">
      <c r="A55" s="7">
        <v>3</v>
      </c>
      <c r="B55" s="5" t="str">
        <f aca="true" t="shared" si="38" ref="B55:B63">B10</f>
        <v>Scen 3: Impute 2010 CRs and calc rates for SFY12 using SFY11 formula and avg acuity</v>
      </c>
      <c r="C55" s="46">
        <f aca="true" t="shared" si="39" ref="C55:K55">C21/C$9</f>
        <v>0.007415888147749355</v>
      </c>
      <c r="D55" s="57">
        <f t="shared" si="39"/>
        <v>0.0017911218490112542</v>
      </c>
      <c r="E55" s="57">
        <f t="shared" si="39"/>
        <v>0.0005900323223160468</v>
      </c>
      <c r="F55" s="57">
        <f t="shared" si="39"/>
        <v>0.007219200597736596</v>
      </c>
      <c r="G55" s="57">
        <f t="shared" si="39"/>
        <v>0.001194129763898366</v>
      </c>
      <c r="H55" s="43">
        <f t="shared" si="39"/>
        <v>0.004269262965015137</v>
      </c>
      <c r="I55" s="46">
        <f t="shared" si="39"/>
        <v>0.010034142559145394</v>
      </c>
      <c r="J55" s="57">
        <f t="shared" si="39"/>
        <v>0.0020481766973520494</v>
      </c>
      <c r="K55" s="57">
        <f t="shared" si="39"/>
        <v>7.070807969066971E-05</v>
      </c>
      <c r="L55" s="57"/>
      <c r="M55" s="57">
        <f aca="true" t="shared" si="40" ref="M55:N57">M21/M$9</f>
        <v>7.070807969066971E-05</v>
      </c>
      <c r="N55" s="43">
        <f t="shared" si="40"/>
        <v>0.0012047220693249172</v>
      </c>
    </row>
    <row r="56" spans="1:14" ht="15">
      <c r="A56" s="7">
        <v>4</v>
      </c>
      <c r="B56" s="8" t="str">
        <f t="shared" si="38"/>
        <v>Scen 4: Update All-Res CMI to RUGable Qtly MDS Status in 2010 CR Period</v>
      </c>
      <c r="C56" s="46">
        <f aca="true" t="shared" si="41" ref="C56:K56">C22/C$9</f>
        <v>0.013438400046602057</v>
      </c>
      <c r="D56" s="57">
        <f t="shared" si="41"/>
        <v>0.0029476244034275768</v>
      </c>
      <c r="E56" s="57">
        <f t="shared" si="41"/>
        <v>0.0009312899832781743</v>
      </c>
      <c r="F56" s="57">
        <f t="shared" si="41"/>
        <v>0.013255601950384326</v>
      </c>
      <c r="G56" s="57">
        <f t="shared" si="41"/>
        <v>0.002054369835723128</v>
      </c>
      <c r="H56" s="43">
        <f t="shared" si="41"/>
        <v>0.007614586458239216</v>
      </c>
      <c r="I56" s="46">
        <f t="shared" si="41"/>
        <v>0.01003414255914651</v>
      </c>
      <c r="J56" s="57">
        <f t="shared" si="41"/>
        <v>0.0020481766973520494</v>
      </c>
      <c r="K56" s="57">
        <f t="shared" si="41"/>
        <v>7.012405603266659E-05</v>
      </c>
      <c r="L56" s="57"/>
      <c r="M56" s="57">
        <f t="shared" si="40"/>
        <v>7.012405603266659E-05</v>
      </c>
      <c r="N56" s="43">
        <f t="shared" si="40"/>
        <v>0.0012044153303879788</v>
      </c>
    </row>
    <row r="57" spans="1:14" ht="15">
      <c r="A57" s="7">
        <v>5</v>
      </c>
      <c r="B57" s="5" t="str">
        <f t="shared" si="38"/>
        <v>Scen 5: Use 2010R2 data and update property valuation factors</v>
      </c>
      <c r="C57" s="46">
        <f aca="true" t="shared" si="42" ref="C57:K57">C23/C$9</f>
        <v>0.013581747719329035</v>
      </c>
      <c r="D57" s="57">
        <f t="shared" si="42"/>
        <v>0.0030457400440026</v>
      </c>
      <c r="E57" s="57">
        <f t="shared" si="42"/>
        <v>0.0014583341702845219</v>
      </c>
      <c r="F57" s="57">
        <f t="shared" si="42"/>
        <v>0.013256099587907062</v>
      </c>
      <c r="G57" s="57">
        <f t="shared" si="42"/>
        <v>0.00253343131808213</v>
      </c>
      <c r="H57" s="43">
        <f t="shared" si="42"/>
        <v>0.007811410355088193</v>
      </c>
      <c r="I57" s="46">
        <f t="shared" si="42"/>
        <v>0.01003414255914428</v>
      </c>
      <c r="J57" s="57">
        <f t="shared" si="42"/>
        <v>0.0020481766973520494</v>
      </c>
      <c r="K57" s="57">
        <f t="shared" si="42"/>
        <v>2.9641860750094064E-05</v>
      </c>
      <c r="L57" s="57"/>
      <c r="M57" s="57">
        <f t="shared" si="40"/>
        <v>2.9641860750094064E-05</v>
      </c>
      <c r="N57" s="43">
        <f t="shared" si="40"/>
        <v>0.0011831534082530368</v>
      </c>
    </row>
    <row r="58" spans="1:14" ht="15">
      <c r="A58" s="7">
        <v>6</v>
      </c>
      <c r="B58" s="8" t="str">
        <f t="shared" si="38"/>
        <v>Scen 6: Increase in ICF/MR MAI</v>
      </c>
      <c r="C58" s="46">
        <f aca="true" t="shared" si="43" ref="C58:K58">C24/C$9</f>
        <v>0.013581747719329035</v>
      </c>
      <c r="D58" s="57">
        <f t="shared" si="43"/>
        <v>0.0030457400440026</v>
      </c>
      <c r="E58" s="57">
        <f t="shared" si="43"/>
        <v>0.0014583341702845219</v>
      </c>
      <c r="F58" s="57">
        <f t="shared" si="43"/>
        <v>0.013256099587907062</v>
      </c>
      <c r="G58" s="57">
        <f t="shared" si="43"/>
        <v>0.00253343131808213</v>
      </c>
      <c r="H58" s="43">
        <f t="shared" si="43"/>
        <v>0.007811410355088193</v>
      </c>
      <c r="I58" s="46">
        <f t="shared" si="43"/>
        <v>0.024718581864298945</v>
      </c>
      <c r="J58" s="57">
        <f t="shared" si="43"/>
        <v>0.012145011317954632</v>
      </c>
      <c r="K58" s="57">
        <f t="shared" si="43"/>
        <v>0.00989530904010018</v>
      </c>
      <c r="L58" s="57"/>
      <c r="M58" s="57">
        <f aca="true" t="shared" si="44" ref="M58:N60">M24/M$9</f>
        <v>0.00989530904010018</v>
      </c>
      <c r="N58" s="43">
        <f t="shared" si="44"/>
        <v>0.011270677586835053</v>
      </c>
    </row>
    <row r="59" spans="1:14" ht="15">
      <c r="A59" s="7">
        <v>7</v>
      </c>
      <c r="B59" s="5" t="str">
        <f t="shared" si="38"/>
        <v>Scen 7: Preliminary SFY12 Labor Factors</v>
      </c>
      <c r="C59" s="46">
        <f aca="true" t="shared" si="45" ref="C59:K59">C25/C$9</f>
        <v>0.013682696521939843</v>
      </c>
      <c r="D59" s="57">
        <f t="shared" si="45"/>
        <v>0.003116118896648732</v>
      </c>
      <c r="E59" s="57">
        <f t="shared" si="45"/>
        <v>0.0016469641232677436</v>
      </c>
      <c r="F59" s="57">
        <f t="shared" si="45"/>
        <v>0.013504882031653419</v>
      </c>
      <c r="G59" s="57">
        <f t="shared" si="45"/>
        <v>0.002727542798198818</v>
      </c>
      <c r="H59" s="43">
        <f t="shared" si="45"/>
        <v>0.007921189857983985</v>
      </c>
      <c r="I59" s="46">
        <f t="shared" si="45"/>
        <v>0.02471272784466625</v>
      </c>
      <c r="J59" s="57">
        <f t="shared" si="45"/>
        <v>0.012139644518809632</v>
      </c>
      <c r="K59" s="57">
        <f t="shared" si="45"/>
        <v>0.00989530904010018</v>
      </c>
      <c r="L59" s="57"/>
      <c r="M59" s="57">
        <f t="shared" si="44"/>
        <v>0.00989530904010018</v>
      </c>
      <c r="N59" s="43">
        <f t="shared" si="44"/>
        <v>0.011268117614142308</v>
      </c>
    </row>
    <row r="60" spans="1:14" ht="15">
      <c r="A60" s="9">
        <v>8</v>
      </c>
      <c r="B60" s="56" t="str">
        <f t="shared" si="38"/>
        <v>Scen 8: Average SFY12 RUG-34 CMI</v>
      </c>
      <c r="C60" s="58">
        <f aca="true" t="shared" si="46" ref="C60:K60">C26/C$9</f>
        <v>0.0155238160412034</v>
      </c>
      <c r="D60" s="59">
        <f t="shared" si="46"/>
        <v>0.011907669594629737</v>
      </c>
      <c r="E60" s="59">
        <f t="shared" si="46"/>
        <v>0.006223067451476143</v>
      </c>
      <c r="F60" s="59">
        <f t="shared" si="46"/>
        <v>0.015162797202392072</v>
      </c>
      <c r="G60" s="59">
        <f t="shared" si="46"/>
        <v>0.007037719855306338</v>
      </c>
      <c r="H60" s="60">
        <f t="shared" si="46"/>
        <v>0.01258466520471631</v>
      </c>
      <c r="I60" s="58">
        <f t="shared" si="46"/>
        <v>0.024712727844668478</v>
      </c>
      <c r="J60" s="59">
        <f t="shared" si="46"/>
        <v>0.012139644518809754</v>
      </c>
      <c r="K60" s="59">
        <f t="shared" si="46"/>
        <v>0.00989530904010018</v>
      </c>
      <c r="L60" s="59"/>
      <c r="M60" s="59">
        <f t="shared" si="44"/>
        <v>0.00989530904010018</v>
      </c>
      <c r="N60" s="60">
        <f t="shared" si="44"/>
        <v>0.011268117614142526</v>
      </c>
    </row>
    <row r="61" spans="1:14" ht="15">
      <c r="A61" s="10">
        <v>9</v>
      </c>
      <c r="B61" s="113" t="str">
        <f t="shared" si="38"/>
        <v>Scen 9: Average SFY12 RUG-48 CMI</v>
      </c>
      <c r="C61" s="114">
        <f aca="true" t="shared" si="47" ref="C61:K61">C27/C$9</f>
        <v>-0.012171181569036692</v>
      </c>
      <c r="D61" s="115">
        <f t="shared" si="47"/>
        <v>-0.012720654306619825</v>
      </c>
      <c r="E61" s="115">
        <f t="shared" si="47"/>
        <v>-0.027143257933128807</v>
      </c>
      <c r="F61" s="115">
        <f t="shared" si="47"/>
        <v>-0.016197452415126982</v>
      </c>
      <c r="G61" s="115">
        <f t="shared" si="47"/>
        <v>-0.026145797492427743</v>
      </c>
      <c r="H61" s="116">
        <f t="shared" si="47"/>
        <v>-0.01520844287424068</v>
      </c>
      <c r="I61" s="114">
        <f t="shared" si="47"/>
        <v>0.02471272784467071</v>
      </c>
      <c r="J61" s="115">
        <f t="shared" si="47"/>
        <v>0.012139644518809754</v>
      </c>
      <c r="K61" s="115">
        <f t="shared" si="47"/>
        <v>0.009893618629678518</v>
      </c>
      <c r="L61" s="115"/>
      <c r="M61" s="115">
        <f aca="true" t="shared" si="48" ref="M61:N63">M27/M$9</f>
        <v>0.009893618629678518</v>
      </c>
      <c r="N61" s="116">
        <f t="shared" si="48"/>
        <v>0.011267229782479583</v>
      </c>
    </row>
    <row r="62" spans="1:14" ht="15">
      <c r="A62" s="7">
        <v>10</v>
      </c>
      <c r="B62" s="8" t="str">
        <f t="shared" si="38"/>
        <v>Scen 10: Adjust DC Bases to Offset RUG-48 Average Impact</v>
      </c>
      <c r="C62" s="46">
        <f aca="true" t="shared" si="49" ref="C62:K62">C28/C$9</f>
        <v>0.010088107100157104</v>
      </c>
      <c r="D62" s="57">
        <f t="shared" si="49"/>
        <v>0.01951905476923044</v>
      </c>
      <c r="E62" s="57">
        <f t="shared" si="49"/>
        <v>0.006793103345103019</v>
      </c>
      <c r="F62" s="57">
        <f t="shared" si="49"/>
        <v>0.007290950796295694</v>
      </c>
      <c r="G62" s="57">
        <f t="shared" si="49"/>
        <v>0.006838470781720864</v>
      </c>
      <c r="H62" s="43">
        <f t="shared" si="49"/>
        <v>0.012569849538265225</v>
      </c>
      <c r="I62" s="46">
        <f t="shared" si="49"/>
        <v>0.02471272784466402</v>
      </c>
      <c r="J62" s="57">
        <f t="shared" si="49"/>
        <v>0.012139644518809512</v>
      </c>
      <c r="K62" s="57">
        <f t="shared" si="49"/>
        <v>0.009893618629678518</v>
      </c>
      <c r="L62" s="57"/>
      <c r="M62" s="57">
        <f t="shared" si="48"/>
        <v>0.009893618629678518</v>
      </c>
      <c r="N62" s="43">
        <f t="shared" si="48"/>
        <v>0.011267229782479148</v>
      </c>
    </row>
    <row r="63" spans="1:14" ht="15">
      <c r="A63" s="133">
        <v>12</v>
      </c>
      <c r="B63" s="134" t="str">
        <f t="shared" si="38"/>
        <v>Scen 12: Adjust DC Bases to Hit Expenditure Targets</v>
      </c>
      <c r="C63" s="135">
        <f aca="true" t="shared" si="50" ref="C63:K63">C29/C$9</f>
        <v>0.006558406923468384</v>
      </c>
      <c r="D63" s="136">
        <f t="shared" si="50"/>
        <v>0.0142232177751387</v>
      </c>
      <c r="E63" s="136">
        <f t="shared" si="50"/>
        <v>0.0010090769732155982</v>
      </c>
      <c r="F63" s="136">
        <f t="shared" si="50"/>
        <v>0.0033163655219878977</v>
      </c>
      <c r="G63" s="136">
        <f t="shared" si="50"/>
        <v>0.001219333682865599</v>
      </c>
      <c r="H63" s="137">
        <f t="shared" si="50"/>
        <v>0.008024387251829267</v>
      </c>
      <c r="I63" s="135">
        <f t="shared" si="50"/>
        <v>0.02818528534738919</v>
      </c>
      <c r="J63" s="136">
        <f t="shared" si="50"/>
        <v>0.02510028946808165</v>
      </c>
      <c r="K63" s="136">
        <f t="shared" si="50"/>
        <v>0.026292057949087837</v>
      </c>
      <c r="L63" s="136"/>
      <c r="M63" s="136">
        <f t="shared" si="48"/>
        <v>0.026292057949087837</v>
      </c>
      <c r="N63" s="137">
        <f t="shared" si="48"/>
        <v>0.02580161093980174</v>
      </c>
    </row>
    <row r="64" spans="1:14" ht="15">
      <c r="A64" s="6"/>
      <c r="B64" s="5"/>
      <c r="C64" s="6"/>
      <c r="D64" s="21"/>
      <c r="E64" s="21"/>
      <c r="F64" s="21"/>
      <c r="G64" s="21"/>
      <c r="H64" s="5"/>
      <c r="I64" s="6"/>
      <c r="J64" s="21"/>
      <c r="K64" s="21"/>
      <c r="L64" s="21"/>
      <c r="M64" s="21"/>
      <c r="N64" s="5"/>
    </row>
    <row r="65" spans="1:14" ht="15">
      <c r="A65" s="28" t="s">
        <v>11</v>
      </c>
      <c r="B65" s="29"/>
      <c r="C65" s="34"/>
      <c r="D65" s="35"/>
      <c r="E65" s="35"/>
      <c r="F65" s="35"/>
      <c r="G65" s="35"/>
      <c r="H65" s="29"/>
      <c r="I65" s="34"/>
      <c r="J65" s="35"/>
      <c r="K65" s="35"/>
      <c r="L65" s="35"/>
      <c r="M65" s="35"/>
      <c r="N65" s="29"/>
    </row>
    <row r="66" spans="1:14" ht="15">
      <c r="A66" s="7">
        <v>3</v>
      </c>
      <c r="B66" s="5" t="str">
        <f aca="true" t="shared" si="51" ref="B66:B74">B10</f>
        <v>Scen 3: Impute 2010 CRs and calc rates for SFY12 using SFY11 formula and avg acuity</v>
      </c>
      <c r="C66" s="16">
        <f>C21</f>
        <v>3102.875230906997</v>
      </c>
      <c r="D66" s="17">
        <f aca="true" t="shared" si="52" ref="D66:N66">D21</f>
        <v>540.7150163332699</v>
      </c>
      <c r="E66" s="17">
        <f t="shared" si="52"/>
        <v>99.132234819117</v>
      </c>
      <c r="F66" s="17">
        <f t="shared" si="52"/>
        <v>121.61105125773247</v>
      </c>
      <c r="G66" s="17">
        <f>G21</f>
        <v>220.74328607684583</v>
      </c>
      <c r="H66" s="18">
        <f t="shared" si="52"/>
        <v>3864.3335333172</v>
      </c>
      <c r="I66" s="16">
        <f t="shared" si="52"/>
        <v>4.09348605277728</v>
      </c>
      <c r="J66" s="17">
        <f t="shared" si="52"/>
        <v>15.399217813096584</v>
      </c>
      <c r="K66" s="17">
        <f t="shared" si="52"/>
        <v>0.619999136786646</v>
      </c>
      <c r="L66" s="17">
        <f t="shared" si="52"/>
        <v>0</v>
      </c>
      <c r="M66" s="17">
        <f t="shared" si="52"/>
        <v>0.619999136786646</v>
      </c>
      <c r="N66" s="18">
        <f t="shared" si="52"/>
        <v>20.112703002661874</v>
      </c>
    </row>
    <row r="67" spans="1:14" ht="15">
      <c r="A67" s="7">
        <v>4</v>
      </c>
      <c r="B67" s="8" t="str">
        <f t="shared" si="51"/>
        <v>Scen 4: Update All-Res CMI to RUGable Qtly MDS Status in 2010 CR Period</v>
      </c>
      <c r="C67" s="16">
        <f aca="true" t="shared" si="53" ref="C67:N67">C22-C21</f>
        <v>2519.8739013430313</v>
      </c>
      <c r="D67" s="17">
        <f t="shared" si="53"/>
        <v>349.13219217659207</v>
      </c>
      <c r="E67" s="17">
        <f t="shared" si="53"/>
        <v>57.335222666326445</v>
      </c>
      <c r="F67" s="17">
        <f t="shared" si="53"/>
        <v>101.6862053312725</v>
      </c>
      <c r="G67" s="17">
        <f t="shared" si="53"/>
        <v>159.02142799762078</v>
      </c>
      <c r="H67" s="18">
        <f t="shared" si="53"/>
        <v>3028.0275215171278</v>
      </c>
      <c r="I67" s="16">
        <f t="shared" si="53"/>
        <v>4.547473508864641E-13</v>
      </c>
      <c r="J67" s="17">
        <f t="shared" si="53"/>
        <v>0</v>
      </c>
      <c r="K67" s="17">
        <f t="shared" si="53"/>
        <v>-0.005120972955410252</v>
      </c>
      <c r="L67" s="17">
        <f t="shared" si="53"/>
        <v>0</v>
      </c>
      <c r="M67" s="17">
        <f t="shared" si="53"/>
        <v>-0.005120972955410252</v>
      </c>
      <c r="N67" s="18">
        <f t="shared" si="53"/>
        <v>-0.005120972957229242</v>
      </c>
    </row>
    <row r="68" spans="1:14" ht="15">
      <c r="A68" s="7">
        <v>5</v>
      </c>
      <c r="B68" s="5" t="str">
        <f t="shared" si="51"/>
        <v>Scen 5: Use 2010R2 data and update property valuation factors</v>
      </c>
      <c r="C68" s="16">
        <f aca="true" t="shared" si="54" ref="C68:N68">C23-C22</f>
        <v>59.9779735415359</v>
      </c>
      <c r="D68" s="17">
        <f t="shared" si="54"/>
        <v>29.619760501140263</v>
      </c>
      <c r="E68" s="17">
        <f t="shared" si="54"/>
        <v>88.54950166336494</v>
      </c>
      <c r="F68" s="17">
        <f t="shared" si="54"/>
        <v>0.008382953412365168</v>
      </c>
      <c r="G68" s="17">
        <f t="shared" si="54"/>
        <v>88.5578846167773</v>
      </c>
      <c r="H68" s="18">
        <f t="shared" si="54"/>
        <v>178.15561865933705</v>
      </c>
      <c r="I68" s="16">
        <f t="shared" si="54"/>
        <v>-9.094947017729282E-13</v>
      </c>
      <c r="J68" s="17">
        <f t="shared" si="54"/>
        <v>0</v>
      </c>
      <c r="K68" s="17">
        <f t="shared" si="54"/>
        <v>-0.3549654613761959</v>
      </c>
      <c r="L68" s="17">
        <f t="shared" si="54"/>
        <v>0</v>
      </c>
      <c r="M68" s="17">
        <f t="shared" si="54"/>
        <v>-0.3549654613761959</v>
      </c>
      <c r="N68" s="18">
        <f t="shared" si="54"/>
        <v>-0.3549654613743769</v>
      </c>
    </row>
    <row r="69" spans="1:14" ht="15">
      <c r="A69" s="7">
        <v>6</v>
      </c>
      <c r="B69" s="8" t="str">
        <f t="shared" si="51"/>
        <v>Scen 6: Increase in ICF/MR MAI</v>
      </c>
      <c r="C69" s="16">
        <f aca="true" t="shared" si="55" ref="C69:N69">C24-C23</f>
        <v>0</v>
      </c>
      <c r="D69" s="17">
        <f t="shared" si="55"/>
        <v>0</v>
      </c>
      <c r="E69" s="17">
        <f t="shared" si="55"/>
        <v>0</v>
      </c>
      <c r="F69" s="17">
        <f t="shared" si="55"/>
        <v>0</v>
      </c>
      <c r="G69" s="17">
        <f t="shared" si="55"/>
        <v>0</v>
      </c>
      <c r="H69" s="18">
        <f t="shared" si="55"/>
        <v>0</v>
      </c>
      <c r="I69" s="16">
        <f t="shared" si="55"/>
        <v>5.990601302920368</v>
      </c>
      <c r="J69" s="17">
        <f t="shared" si="55"/>
        <v>75.91305757285863</v>
      </c>
      <c r="K69" s="17">
        <f t="shared" si="55"/>
        <v>86.5064524702193</v>
      </c>
      <c r="L69" s="17">
        <f t="shared" si="55"/>
        <v>0</v>
      </c>
      <c r="M69" s="17">
        <f t="shared" si="55"/>
        <v>86.5064524702193</v>
      </c>
      <c r="N69" s="18">
        <f t="shared" si="55"/>
        <v>168.4101113459983</v>
      </c>
    </row>
    <row r="70" spans="1:14" ht="15">
      <c r="A70" s="7">
        <v>7</v>
      </c>
      <c r="B70" s="5" t="str">
        <f t="shared" si="51"/>
        <v>Scen 7: Preliminary SFY12 Labor Factors</v>
      </c>
      <c r="C70" s="16">
        <f aca="true" t="shared" si="56" ref="C70:G71">C25-C24</f>
        <v>42.23789962445153</v>
      </c>
      <c r="D70" s="17">
        <f t="shared" si="56"/>
        <v>21.246406255988404</v>
      </c>
      <c r="E70" s="17">
        <f t="shared" si="56"/>
        <v>31.692007515201112</v>
      </c>
      <c r="F70" s="17">
        <f t="shared" si="56"/>
        <v>4.190864917640283</v>
      </c>
      <c r="G70" s="17">
        <f t="shared" si="56"/>
        <v>35.88287243281957</v>
      </c>
      <c r="H70" s="18">
        <f aca="true" t="shared" si="57" ref="H70:N71">H25-H24</f>
        <v>99.36717831331771</v>
      </c>
      <c r="I70" s="16">
        <f t="shared" si="57"/>
        <v>-0.0023881809111117036</v>
      </c>
      <c r="J70" s="17">
        <f t="shared" si="57"/>
        <v>-0.0403502828148703</v>
      </c>
      <c r="K70" s="17">
        <f t="shared" si="57"/>
        <v>0</v>
      </c>
      <c r="L70" s="17">
        <f t="shared" si="57"/>
        <v>0</v>
      </c>
      <c r="M70" s="17">
        <f t="shared" si="57"/>
        <v>0</v>
      </c>
      <c r="N70" s="18">
        <f t="shared" si="57"/>
        <v>-0.04273846372961998</v>
      </c>
    </row>
    <row r="71" spans="1:14" ht="15">
      <c r="A71" s="9">
        <v>8</v>
      </c>
      <c r="B71" s="56" t="str">
        <f t="shared" si="51"/>
        <v>Scen 8: Average SFY12 RUG-34 CMI</v>
      </c>
      <c r="C71" s="19">
        <f t="shared" si="56"/>
        <v>770.3411971222959</v>
      </c>
      <c r="D71" s="65">
        <f t="shared" si="56"/>
        <v>2654.048065952491</v>
      </c>
      <c r="E71" s="65">
        <f t="shared" si="56"/>
        <v>768.8381339988846</v>
      </c>
      <c r="F71" s="65">
        <f t="shared" si="56"/>
        <v>27.928411751418025</v>
      </c>
      <c r="G71" s="65">
        <f t="shared" si="56"/>
        <v>796.7665457503172</v>
      </c>
      <c r="H71" s="20">
        <f t="shared" si="57"/>
        <v>4221.155808825162</v>
      </c>
      <c r="I71" s="19">
        <f t="shared" si="57"/>
        <v>9.094947017729282E-13</v>
      </c>
      <c r="J71" s="65">
        <f t="shared" si="57"/>
        <v>9.094947017729282E-13</v>
      </c>
      <c r="K71" s="65">
        <f t="shared" si="57"/>
        <v>0</v>
      </c>
      <c r="L71" s="65">
        <f t="shared" si="57"/>
        <v>0</v>
      </c>
      <c r="M71" s="65">
        <f t="shared" si="57"/>
        <v>0</v>
      </c>
      <c r="N71" s="20">
        <f t="shared" si="57"/>
        <v>3.637978807091713E-12</v>
      </c>
    </row>
    <row r="72" spans="1:14" ht="15">
      <c r="A72" s="10">
        <v>9</v>
      </c>
      <c r="B72" s="113" t="str">
        <f t="shared" si="51"/>
        <v>Scen 9: Average SFY12 RUG-48 CMI</v>
      </c>
      <c r="C72" s="117">
        <f aca="true" t="shared" si="58" ref="C72:N72">C27-C26</f>
        <v>-11587.839567257033</v>
      </c>
      <c r="D72" s="118">
        <f t="shared" si="58"/>
        <v>-7434.9517694044625</v>
      </c>
      <c r="E72" s="118">
        <f t="shared" si="58"/>
        <v>-5605.92746867516</v>
      </c>
      <c r="F72" s="118">
        <f t="shared" si="58"/>
        <v>-528.279117896669</v>
      </c>
      <c r="G72" s="118">
        <f t="shared" si="58"/>
        <v>-6134.206586571847</v>
      </c>
      <c r="H72" s="119">
        <f t="shared" si="58"/>
        <v>-25156.997923233313</v>
      </c>
      <c r="I72" s="117">
        <f t="shared" si="58"/>
        <v>9.094947017729282E-13</v>
      </c>
      <c r="J72" s="118">
        <f t="shared" si="58"/>
        <v>0</v>
      </c>
      <c r="K72" s="118">
        <f t="shared" si="58"/>
        <v>-0.014822252376688994</v>
      </c>
      <c r="L72" s="118">
        <f t="shared" si="58"/>
        <v>0</v>
      </c>
      <c r="M72" s="118">
        <f t="shared" si="58"/>
        <v>-0.014822252376688994</v>
      </c>
      <c r="N72" s="119">
        <f t="shared" si="58"/>
        <v>-0.014822252374870004</v>
      </c>
    </row>
    <row r="73" spans="1:14" ht="15">
      <c r="A73" s="7">
        <v>10</v>
      </c>
      <c r="B73" s="8" t="str">
        <f t="shared" si="51"/>
        <v>Scen 10: Adjust DC Bases to Offset RUG-48 Average Impact</v>
      </c>
      <c r="C73" s="16">
        <f aca="true" t="shared" si="59" ref="C73:N73">C28-C27</f>
        <v>9313.489374864905</v>
      </c>
      <c r="D73" s="17">
        <f t="shared" si="59"/>
        <v>9732.724118770275</v>
      </c>
      <c r="E73" s="17">
        <f t="shared" si="59"/>
        <v>5701.7000728615385</v>
      </c>
      <c r="F73" s="17">
        <f t="shared" si="59"/>
        <v>395.67392098817436</v>
      </c>
      <c r="G73" s="17">
        <f t="shared" si="59"/>
        <v>6097.373993849731</v>
      </c>
      <c r="H73" s="18">
        <f t="shared" si="59"/>
        <v>25143.58748748491</v>
      </c>
      <c r="I73" s="16">
        <f t="shared" si="59"/>
        <v>-2.7284841053187847E-12</v>
      </c>
      <c r="J73" s="17">
        <f t="shared" si="59"/>
        <v>-1.8189894035458565E-12</v>
      </c>
      <c r="K73" s="17">
        <f t="shared" si="59"/>
        <v>0</v>
      </c>
      <c r="L73" s="17">
        <f t="shared" si="59"/>
        <v>0</v>
      </c>
      <c r="M73" s="17">
        <f t="shared" si="59"/>
        <v>0</v>
      </c>
      <c r="N73" s="18">
        <f t="shared" si="59"/>
        <v>-7.275957614183426E-12</v>
      </c>
    </row>
    <row r="74" spans="1:14" ht="15">
      <c r="A74" s="9">
        <v>12</v>
      </c>
      <c r="B74" s="56" t="str">
        <f t="shared" si="51"/>
        <v>Scen 12: Adjust DC Bases to Hit Expenditure Targets</v>
      </c>
      <c r="C74" s="19">
        <f aca="true" t="shared" si="60" ref="C74:N74">C29-C28</f>
        <v>-1476.8587433589273</v>
      </c>
      <c r="D74" s="65">
        <f t="shared" si="60"/>
        <v>-1598.7402467003558</v>
      </c>
      <c r="E74" s="65">
        <f t="shared" si="60"/>
        <v>-971.7831359597621</v>
      </c>
      <c r="F74" s="65">
        <f t="shared" si="60"/>
        <v>-66.95388041629121</v>
      </c>
      <c r="G74" s="65">
        <f t="shared" si="60"/>
        <v>-1038.7370163760497</v>
      </c>
      <c r="H74" s="20">
        <f t="shared" si="60"/>
        <v>-4114.336006435449</v>
      </c>
      <c r="I74" s="19">
        <f t="shared" si="60"/>
        <v>1.4166497656460706</v>
      </c>
      <c r="J74" s="65">
        <f t="shared" si="60"/>
        <v>97.44461736630456</v>
      </c>
      <c r="K74" s="65">
        <f t="shared" si="60"/>
        <v>143.78863444121453</v>
      </c>
      <c r="L74" s="65">
        <f t="shared" si="60"/>
        <v>0</v>
      </c>
      <c r="M74" s="65">
        <f t="shared" si="60"/>
        <v>143.78863444121453</v>
      </c>
      <c r="N74" s="20">
        <f t="shared" si="60"/>
        <v>242.64990157316788</v>
      </c>
    </row>
    <row r="75" spans="1:14" ht="15">
      <c r="A75" s="6"/>
      <c r="B75" s="5"/>
      <c r="C75" s="6"/>
      <c r="D75" s="21"/>
      <c r="E75" s="21"/>
      <c r="F75" s="21"/>
      <c r="G75" s="21"/>
      <c r="H75" s="5"/>
      <c r="I75" s="6"/>
      <c r="J75" s="21"/>
      <c r="K75" s="21"/>
      <c r="L75" s="21"/>
      <c r="M75" s="21"/>
      <c r="N75" s="5"/>
    </row>
    <row r="76" spans="1:14" ht="15">
      <c r="A76" s="28" t="s">
        <v>13</v>
      </c>
      <c r="B76" s="29"/>
      <c r="C76" s="34"/>
      <c r="D76" s="35"/>
      <c r="E76" s="35"/>
      <c r="F76" s="35"/>
      <c r="G76" s="35"/>
      <c r="H76" s="29"/>
      <c r="I76" s="34"/>
      <c r="J76" s="35"/>
      <c r="K76" s="35"/>
      <c r="L76" s="35"/>
      <c r="M76" s="35"/>
      <c r="N76" s="29"/>
    </row>
    <row r="77" spans="1:14" ht="15">
      <c r="A77" s="7">
        <v>3</v>
      </c>
      <c r="B77" s="5" t="str">
        <f aca="true" t="shared" si="61" ref="B77:B85">B10</f>
        <v>Scen 3: Impute 2010 CRs and calc rates for SFY12 using SFY11 formula and avg acuity</v>
      </c>
      <c r="C77" s="22">
        <f>C66/C$6*1000</f>
        <v>1.1232759887366246</v>
      </c>
      <c r="D77" s="23">
        <f aca="true" t="shared" si="62" ref="D77:K77">D66/D$6*1000</f>
        <v>0.27089229431584494</v>
      </c>
      <c r="E77" s="23">
        <f t="shared" si="62"/>
        <v>0.08685649545702608</v>
      </c>
      <c r="F77" s="23">
        <f t="shared" si="62"/>
        <v>1.0656811780564646</v>
      </c>
      <c r="G77" s="23">
        <f aca="true" t="shared" si="63" ref="G77:G85">G66/G$6*1000</f>
        <v>0.1758281068449635</v>
      </c>
      <c r="H77" s="24">
        <f t="shared" si="62"/>
        <v>0.6425727960801904</v>
      </c>
      <c r="I77" s="22">
        <f t="shared" si="62"/>
        <v>1.5511319932565715</v>
      </c>
      <c r="J77" s="23">
        <f t="shared" si="62"/>
        <v>0.4604770977928101</v>
      </c>
      <c r="K77" s="23">
        <f t="shared" si="62"/>
        <v>0.016269283970350743</v>
      </c>
      <c r="L77" s="23"/>
      <c r="M77" s="23">
        <f aca="true" t="shared" si="64" ref="M77:N79">M66/M$6*1000</f>
        <v>0.016269283970350743</v>
      </c>
      <c r="N77" s="24">
        <f t="shared" si="64"/>
        <v>0.27109913681038705</v>
      </c>
    </row>
    <row r="78" spans="1:14" ht="15">
      <c r="A78" s="7">
        <v>4</v>
      </c>
      <c r="B78" s="8" t="str">
        <f t="shared" si="61"/>
        <v>Scen 4: Update All-Res CMI to RUGable Qtly MDS Status in 2010 CR Period</v>
      </c>
      <c r="C78" s="22">
        <f aca="true" t="shared" si="65" ref="C78:K78">C67/C$6*1000</f>
        <v>0.9122229021098363</v>
      </c>
      <c r="D78" s="23">
        <f t="shared" si="65"/>
        <v>0.17491140009314038</v>
      </c>
      <c r="E78" s="23">
        <f t="shared" si="65"/>
        <v>0.05023528942056103</v>
      </c>
      <c r="F78" s="23">
        <f t="shared" si="65"/>
        <v>0.8910791738808505</v>
      </c>
      <c r="G78" s="23">
        <f t="shared" si="63"/>
        <v>0.1266649470048691</v>
      </c>
      <c r="H78" s="24">
        <f t="shared" si="65"/>
        <v>0.5035093617912397</v>
      </c>
      <c r="I78" s="22">
        <f t="shared" si="65"/>
        <v>1.7231600540817693E-13</v>
      </c>
      <c r="J78" s="23">
        <f t="shared" si="65"/>
        <v>0</v>
      </c>
      <c r="K78" s="23">
        <f t="shared" si="65"/>
        <v>-0.0001343785148602971</v>
      </c>
      <c r="L78" s="23"/>
      <c r="M78" s="23">
        <f t="shared" si="64"/>
        <v>-0.0001343785148602971</v>
      </c>
      <c r="N78" s="24">
        <f t="shared" si="64"/>
        <v>-6.902559781002311E-05</v>
      </c>
    </row>
    <row r="79" spans="1:14" ht="15">
      <c r="A79" s="7">
        <v>5</v>
      </c>
      <c r="B79" s="5" t="str">
        <f t="shared" si="61"/>
        <v>Scen 5: Use 2010R2 data and update property valuation factors</v>
      </c>
      <c r="C79" s="22">
        <f aca="true" t="shared" si="66" ref="C79:K79">C68/C$6*1000</f>
        <v>0.021712705964201627</v>
      </c>
      <c r="D79" s="23">
        <f t="shared" si="66"/>
        <v>0.01483917523439792</v>
      </c>
      <c r="E79" s="23">
        <f t="shared" si="66"/>
        <v>0.07758424293550578</v>
      </c>
      <c r="F79" s="23">
        <f t="shared" si="66"/>
        <v>7.346006448993462E-05</v>
      </c>
      <c r="G79" s="23">
        <f t="shared" si="63"/>
        <v>0.07053879406752174</v>
      </c>
      <c r="H79" s="24">
        <f t="shared" si="66"/>
        <v>0.029624242584737975</v>
      </c>
      <c r="I79" s="22">
        <f t="shared" si="66"/>
        <v>-3.4463201081635385E-13</v>
      </c>
      <c r="J79" s="23">
        <f t="shared" si="66"/>
        <v>0</v>
      </c>
      <c r="K79" s="23">
        <f t="shared" si="66"/>
        <v>-0.009314583760111272</v>
      </c>
      <c r="L79" s="23"/>
      <c r="M79" s="23">
        <f t="shared" si="64"/>
        <v>-0.009314583760111272</v>
      </c>
      <c r="N79" s="24">
        <f t="shared" si="64"/>
        <v>-0.0047845796839618435</v>
      </c>
    </row>
    <row r="80" spans="1:14" ht="15">
      <c r="A80" s="7">
        <v>6</v>
      </c>
      <c r="B80" s="8" t="str">
        <f t="shared" si="61"/>
        <v>Scen 6: Increase in ICF/MR MAI</v>
      </c>
      <c r="C80" s="22">
        <f aca="true" t="shared" si="67" ref="C80:F82">C69/C$6*1000</f>
        <v>0</v>
      </c>
      <c r="D80" s="23">
        <f t="shared" si="67"/>
        <v>0</v>
      </c>
      <c r="E80" s="23">
        <f t="shared" si="67"/>
        <v>0</v>
      </c>
      <c r="F80" s="23">
        <f t="shared" si="67"/>
        <v>0</v>
      </c>
      <c r="G80" s="23">
        <f t="shared" si="63"/>
        <v>0</v>
      </c>
      <c r="H80" s="24">
        <f aca="true" t="shared" si="68" ref="H80:K82">H69/H$6*1000</f>
        <v>0</v>
      </c>
      <c r="I80" s="22">
        <f t="shared" si="68"/>
        <v>2.269999999999966</v>
      </c>
      <c r="J80" s="23">
        <f t="shared" si="68"/>
        <v>2.269999999999948</v>
      </c>
      <c r="K80" s="23">
        <f t="shared" si="68"/>
        <v>2.269999999999937</v>
      </c>
      <c r="L80" s="23"/>
      <c r="M80" s="23">
        <f aca="true" t="shared" si="69" ref="M80:N82">M69/M$6*1000</f>
        <v>2.269999999999937</v>
      </c>
      <c r="N80" s="24">
        <f t="shared" si="69"/>
        <v>2.269999999999943</v>
      </c>
    </row>
    <row r="81" spans="1:14" ht="15">
      <c r="A81" s="7">
        <v>7</v>
      </c>
      <c r="B81" s="5" t="str">
        <f t="shared" si="61"/>
        <v>Scen 7: Preliminary SFY12 Labor Factors</v>
      </c>
      <c r="C81" s="22">
        <f t="shared" si="67"/>
        <v>0.015290598213627032</v>
      </c>
      <c r="D81" s="23">
        <f t="shared" si="67"/>
        <v>0.010644216570275205</v>
      </c>
      <c r="E81" s="23">
        <f t="shared" si="67"/>
        <v>0.027767523972306023</v>
      </c>
      <c r="F81" s="23">
        <f t="shared" si="67"/>
        <v>0.03672467112418315</v>
      </c>
      <c r="G81" s="23">
        <f t="shared" si="63"/>
        <v>0.028581696141941143</v>
      </c>
      <c r="H81" s="24">
        <f t="shared" si="68"/>
        <v>0.01652306796421299</v>
      </c>
      <c r="I81" s="22">
        <f t="shared" si="68"/>
        <v>-0.0009049459969203274</v>
      </c>
      <c r="J81" s="23">
        <f t="shared" si="68"/>
        <v>-0.0012065795387288117</v>
      </c>
      <c r="K81" s="23">
        <f t="shared" si="68"/>
        <v>0</v>
      </c>
      <c r="L81" s="23"/>
      <c r="M81" s="23">
        <f t="shared" si="69"/>
        <v>0</v>
      </c>
      <c r="N81" s="24">
        <f t="shared" si="69"/>
        <v>-0.0005760717803155837</v>
      </c>
    </row>
    <row r="82" spans="1:14" ht="15">
      <c r="A82" s="9">
        <v>8</v>
      </c>
      <c r="B82" s="56" t="str">
        <f t="shared" si="61"/>
        <v>Scen 8: Average SFY12 RUG-34 CMI</v>
      </c>
      <c r="C82" s="25">
        <f t="shared" si="67"/>
        <v>0.2788722412177578</v>
      </c>
      <c r="D82" s="1">
        <f t="shared" si="67"/>
        <v>1.3296489797636195</v>
      </c>
      <c r="E82" s="1">
        <f t="shared" si="67"/>
        <v>0.673631397644883</v>
      </c>
      <c r="F82" s="1">
        <f t="shared" si="67"/>
        <v>0.24473748420626978</v>
      </c>
      <c r="G82" s="1">
        <f t="shared" si="63"/>
        <v>0.6346464974155968</v>
      </c>
      <c r="H82" s="26">
        <f t="shared" si="68"/>
        <v>0.7019062581895096</v>
      </c>
      <c r="I82" s="25">
        <f t="shared" si="68"/>
        <v>3.4463201081635385E-13</v>
      </c>
      <c r="J82" s="1">
        <f t="shared" si="68"/>
        <v>2.7196282682238374E-14</v>
      </c>
      <c r="K82" s="1">
        <f t="shared" si="68"/>
        <v>0</v>
      </c>
      <c r="L82" s="1"/>
      <c r="M82" s="1">
        <f t="shared" si="69"/>
        <v>0</v>
      </c>
      <c r="N82" s="26">
        <f t="shared" si="69"/>
        <v>4.90363186990091E-14</v>
      </c>
    </row>
    <row r="83" spans="1:14" ht="15">
      <c r="A83" s="10">
        <v>9</v>
      </c>
      <c r="B83" s="113" t="str">
        <f t="shared" si="61"/>
        <v>Scen 9: Average SFY12 RUG-48 CMI</v>
      </c>
      <c r="C83" s="110">
        <f aca="true" t="shared" si="70" ref="C83:F85">C72/C$6*1000</f>
        <v>-4.194929211970678</v>
      </c>
      <c r="D83" s="111">
        <f t="shared" si="70"/>
        <v>-3.724829313229674</v>
      </c>
      <c r="E83" s="111">
        <f t="shared" si="70"/>
        <v>-4.911734458562857</v>
      </c>
      <c r="F83" s="111">
        <f t="shared" si="70"/>
        <v>-4.629325270033434</v>
      </c>
      <c r="G83" s="111">
        <f t="shared" si="63"/>
        <v>-4.886064488218953</v>
      </c>
      <c r="H83" s="112">
        <f aca="true" t="shared" si="71" ref="H83:K85">H72/H$6*1000</f>
        <v>-4.183179934429503</v>
      </c>
      <c r="I83" s="110">
        <f t="shared" si="71"/>
        <v>3.4463201081635385E-13</v>
      </c>
      <c r="J83" s="111">
        <f t="shared" si="71"/>
        <v>0</v>
      </c>
      <c r="K83" s="111">
        <f t="shared" si="71"/>
        <v>-0.0003889480140994826</v>
      </c>
      <c r="L83" s="111"/>
      <c r="M83" s="111">
        <f aca="true" t="shared" si="72" ref="M83:N85">M72/M$6*1000</f>
        <v>-0.0003889480140994826</v>
      </c>
      <c r="N83" s="112">
        <f t="shared" si="72"/>
        <v>-0.00019978914936899102</v>
      </c>
    </row>
    <row r="84" spans="1:14" ht="15">
      <c r="A84" s="7">
        <v>10</v>
      </c>
      <c r="B84" s="8" t="str">
        <f t="shared" si="61"/>
        <v>Scen 10: Adjust DC Bases to Offset RUG-48 Average Impact</v>
      </c>
      <c r="C84" s="22">
        <f t="shared" si="70"/>
        <v>3.3715886742508183</v>
      </c>
      <c r="D84" s="23">
        <f t="shared" si="70"/>
        <v>4.87598806549848</v>
      </c>
      <c r="E84" s="23">
        <f t="shared" si="70"/>
        <v>4.995647353047684</v>
      </c>
      <c r="F84" s="23">
        <f t="shared" si="70"/>
        <v>3.46730207398061</v>
      </c>
      <c r="G84" s="23">
        <f t="shared" si="63"/>
        <v>4.856726313710367</v>
      </c>
      <c r="H84" s="24">
        <f t="shared" si="71"/>
        <v>4.180950007555642</v>
      </c>
      <c r="I84" s="22">
        <f t="shared" si="71"/>
        <v>-1.0338960324490615E-12</v>
      </c>
      <c r="J84" s="23">
        <f t="shared" si="71"/>
        <v>-5.439256536447675E-14</v>
      </c>
      <c r="K84" s="23">
        <f t="shared" si="71"/>
        <v>0</v>
      </c>
      <c r="L84" s="23"/>
      <c r="M84" s="23">
        <f t="shared" si="72"/>
        <v>0</v>
      </c>
      <c r="N84" s="24">
        <f t="shared" si="72"/>
        <v>-9.80726373980182E-14</v>
      </c>
    </row>
    <row r="85" spans="1:14" ht="15">
      <c r="A85" s="9">
        <v>12</v>
      </c>
      <c r="B85" s="56" t="str">
        <f t="shared" si="61"/>
        <v>Scen 12: Adjust DC Bases to Hit Expenditure Targets</v>
      </c>
      <c r="C85" s="25">
        <f t="shared" si="70"/>
        <v>-0.5346395977017457</v>
      </c>
      <c r="D85" s="1">
        <f t="shared" si="70"/>
        <v>-0.8009513336260045</v>
      </c>
      <c r="E85" s="1">
        <f t="shared" si="70"/>
        <v>-0.8514453213701436</v>
      </c>
      <c r="F85" s="1">
        <f t="shared" si="70"/>
        <v>-0.5867188007960591</v>
      </c>
      <c r="G85" s="1">
        <f t="shared" si="63"/>
        <v>-0.8273826413710529</v>
      </c>
      <c r="H85" s="26">
        <f t="shared" si="71"/>
        <v>-0.6841439458770497</v>
      </c>
      <c r="I85" s="25">
        <f t="shared" si="71"/>
        <v>0.5368067086101788</v>
      </c>
      <c r="J85" s="1">
        <f t="shared" si="71"/>
        <v>2.913850245186174</v>
      </c>
      <c r="K85" s="1">
        <f t="shared" si="71"/>
        <v>3.7731312620167192</v>
      </c>
      <c r="L85" s="1"/>
      <c r="M85" s="1">
        <f t="shared" si="72"/>
        <v>3.7731312620167192</v>
      </c>
      <c r="N85" s="26">
        <f t="shared" si="72"/>
        <v>3.2706781805958682</v>
      </c>
    </row>
    <row r="86" spans="1:14" ht="15">
      <c r="A86" s="6"/>
      <c r="B86" s="5"/>
      <c r="C86" s="6"/>
      <c r="D86" s="21"/>
      <c r="E86" s="21"/>
      <c r="F86" s="21"/>
      <c r="G86" s="21"/>
      <c r="H86" s="5"/>
      <c r="I86" s="6"/>
      <c r="J86" s="21"/>
      <c r="K86" s="21"/>
      <c r="L86" s="21"/>
      <c r="M86" s="21"/>
      <c r="N86" s="5"/>
    </row>
    <row r="87" spans="1:14" ht="15">
      <c r="A87" s="28" t="s">
        <v>18</v>
      </c>
      <c r="B87" s="29"/>
      <c r="C87" s="34"/>
      <c r="D87" s="35"/>
      <c r="E87" s="35"/>
      <c r="F87" s="35"/>
      <c r="G87" s="35"/>
      <c r="H87" s="29"/>
      <c r="I87" s="34"/>
      <c r="J87" s="35"/>
      <c r="K87" s="35"/>
      <c r="L87" s="35"/>
      <c r="M87" s="35"/>
      <c r="N87" s="29"/>
    </row>
    <row r="88" spans="1:14" ht="15">
      <c r="A88" s="7">
        <v>3</v>
      </c>
      <c r="B88" s="5" t="str">
        <f aca="true" t="shared" si="73" ref="B88:B96">B10</f>
        <v>Scen 3: Impute 2010 CRs and calc rates for SFY12 using SFY11 formula and avg acuity</v>
      </c>
      <c r="C88" s="46">
        <f aca="true" t="shared" si="74" ref="C88:K88">C66/C$9</f>
        <v>0.007415888147749355</v>
      </c>
      <c r="D88" s="57">
        <f t="shared" si="74"/>
        <v>0.0017911218490112542</v>
      </c>
      <c r="E88" s="57">
        <f t="shared" si="74"/>
        <v>0.0005900323223160468</v>
      </c>
      <c r="F88" s="57">
        <f t="shared" si="74"/>
        <v>0.007219200597736596</v>
      </c>
      <c r="G88" s="57">
        <f t="shared" si="74"/>
        <v>0.001194129763898366</v>
      </c>
      <c r="H88" s="43">
        <f t="shared" si="74"/>
        <v>0.004269262965015137</v>
      </c>
      <c r="I88" s="46">
        <f t="shared" si="74"/>
        <v>0.010034142559145394</v>
      </c>
      <c r="J88" s="57">
        <f t="shared" si="74"/>
        <v>0.0020481766973520494</v>
      </c>
      <c r="K88" s="57">
        <f t="shared" si="74"/>
        <v>7.070807969066971E-05</v>
      </c>
      <c r="L88" s="57"/>
      <c r="M88" s="57">
        <f aca="true" t="shared" si="75" ref="M88:N90">M66/M$9</f>
        <v>7.070807969066971E-05</v>
      </c>
      <c r="N88" s="43">
        <f t="shared" si="75"/>
        <v>0.0012047220693249172</v>
      </c>
    </row>
    <row r="89" spans="1:14" ht="15">
      <c r="A89" s="7">
        <v>4</v>
      </c>
      <c r="B89" s="8" t="str">
        <f t="shared" si="73"/>
        <v>Scen 4: Update All-Res CMI to RUGable Qtly MDS Status in 2010 CR Period</v>
      </c>
      <c r="C89" s="46">
        <f aca="true" t="shared" si="76" ref="C89:K89">C67/C$9</f>
        <v>0.006022511898852702</v>
      </c>
      <c r="D89" s="57">
        <f t="shared" si="76"/>
        <v>0.0011565025544163225</v>
      </c>
      <c r="E89" s="57">
        <f t="shared" si="76"/>
        <v>0.00034125766096212745</v>
      </c>
      <c r="F89" s="57">
        <f t="shared" si="76"/>
        <v>0.00603640135264773</v>
      </c>
      <c r="G89" s="57">
        <f t="shared" si="76"/>
        <v>0.0008602400718247622</v>
      </c>
      <c r="H89" s="43">
        <f t="shared" si="76"/>
        <v>0.00334532349322408</v>
      </c>
      <c r="I89" s="46">
        <f t="shared" si="76"/>
        <v>1.114697763314148E-15</v>
      </c>
      <c r="J89" s="57">
        <f t="shared" si="76"/>
        <v>0</v>
      </c>
      <c r="K89" s="57">
        <f t="shared" si="76"/>
        <v>-5.84023658003118E-07</v>
      </c>
      <c r="L89" s="57"/>
      <c r="M89" s="57">
        <f t="shared" si="75"/>
        <v>-5.84023658003118E-07</v>
      </c>
      <c r="N89" s="43">
        <f t="shared" si="75"/>
        <v>-3.067389369381953E-07</v>
      </c>
    </row>
    <row r="90" spans="1:14" ht="15">
      <c r="A90" s="7">
        <v>5</v>
      </c>
      <c r="B90" s="5" t="str">
        <f t="shared" si="73"/>
        <v>Scen 5: Use 2010R2 data and update property valuation factors</v>
      </c>
      <c r="C90" s="46">
        <f aca="true" t="shared" si="77" ref="C90:K90">C68/C$9</f>
        <v>0.00014334767272697736</v>
      </c>
      <c r="D90" s="57">
        <f t="shared" si="77"/>
        <v>9.811564057502312E-05</v>
      </c>
      <c r="E90" s="57">
        <f t="shared" si="77"/>
        <v>0.0005270441870063476</v>
      </c>
      <c r="F90" s="57">
        <f t="shared" si="77"/>
        <v>4.976375227370357E-07</v>
      </c>
      <c r="G90" s="57">
        <f t="shared" si="77"/>
        <v>0.000479061482359002</v>
      </c>
      <c r="H90" s="43">
        <f t="shared" si="77"/>
        <v>0.00019682389684897697</v>
      </c>
      <c r="I90" s="46">
        <f t="shared" si="77"/>
        <v>-2.229395526628296E-15</v>
      </c>
      <c r="J90" s="57">
        <f t="shared" si="77"/>
        <v>0</v>
      </c>
      <c r="K90" s="57">
        <f t="shared" si="77"/>
        <v>-4.0482195282572525E-05</v>
      </c>
      <c r="L90" s="57"/>
      <c r="M90" s="57">
        <f t="shared" si="75"/>
        <v>-4.0482195282572525E-05</v>
      </c>
      <c r="N90" s="43">
        <f t="shared" si="75"/>
        <v>-2.1261922134942117E-05</v>
      </c>
    </row>
    <row r="91" spans="1:14" ht="15">
      <c r="A91" s="7">
        <v>6</v>
      </c>
      <c r="B91" s="8" t="str">
        <f t="shared" si="73"/>
        <v>Scen 6: Increase in ICF/MR MAI</v>
      </c>
      <c r="C91" s="46">
        <f aca="true" t="shared" si="78" ref="C91:K91">C69/C$9</f>
        <v>0</v>
      </c>
      <c r="D91" s="57">
        <f t="shared" si="78"/>
        <v>0</v>
      </c>
      <c r="E91" s="57">
        <f t="shared" si="78"/>
        <v>0</v>
      </c>
      <c r="F91" s="57">
        <f t="shared" si="78"/>
        <v>0</v>
      </c>
      <c r="G91" s="57">
        <f t="shared" si="78"/>
        <v>0</v>
      </c>
      <c r="H91" s="43">
        <f t="shared" si="78"/>
        <v>0</v>
      </c>
      <c r="I91" s="46">
        <f t="shared" si="78"/>
        <v>0.014684439305154666</v>
      </c>
      <c r="J91" s="57">
        <f t="shared" si="78"/>
        <v>0.010096834620602582</v>
      </c>
      <c r="K91" s="57">
        <f t="shared" si="78"/>
        <v>0.009865667179350087</v>
      </c>
      <c r="L91" s="57"/>
      <c r="M91" s="57">
        <f aca="true" t="shared" si="79" ref="M91:N93">M69/M$9</f>
        <v>0.009865667179350087</v>
      </c>
      <c r="N91" s="43">
        <f t="shared" si="79"/>
        <v>0.010087524178582016</v>
      </c>
    </row>
    <row r="92" spans="1:14" ht="15">
      <c r="A92" s="7">
        <v>7</v>
      </c>
      <c r="B92" s="5" t="str">
        <f t="shared" si="73"/>
        <v>Scen 7: Preliminary SFY12 Labor Factors</v>
      </c>
      <c r="C92" s="46">
        <f aca="true" t="shared" si="80" ref="C92:K92">C70/C$9</f>
        <v>0.00010094880261080843</v>
      </c>
      <c r="D92" s="57">
        <f t="shared" si="80"/>
        <v>7.037885264613232E-05</v>
      </c>
      <c r="E92" s="57">
        <f t="shared" si="80"/>
        <v>0.00018862995298322158</v>
      </c>
      <c r="F92" s="57">
        <f t="shared" si="80"/>
        <v>0.00024878244374635614</v>
      </c>
      <c r="G92" s="57">
        <f t="shared" si="80"/>
        <v>0.00019411148011668793</v>
      </c>
      <c r="H92" s="43">
        <f t="shared" si="80"/>
        <v>0.00010977950289579221</v>
      </c>
      <c r="I92" s="46">
        <f t="shared" si="80"/>
        <v>-5.8540196326957845E-06</v>
      </c>
      <c r="J92" s="57">
        <f t="shared" si="80"/>
        <v>-5.366799144999135E-06</v>
      </c>
      <c r="K92" s="57">
        <f t="shared" si="80"/>
        <v>0</v>
      </c>
      <c r="L92" s="57"/>
      <c r="M92" s="57">
        <f t="shared" si="79"/>
        <v>0</v>
      </c>
      <c r="N92" s="43">
        <f t="shared" si="79"/>
        <v>-2.5599726927455437E-06</v>
      </c>
    </row>
    <row r="93" spans="1:14" ht="15">
      <c r="A93" s="9">
        <v>8</v>
      </c>
      <c r="B93" s="56" t="str">
        <f t="shared" si="73"/>
        <v>Scen 8: Average SFY12 RUG-34 CMI</v>
      </c>
      <c r="C93" s="58">
        <f aca="true" t="shared" si="81" ref="C93:K93">C71/C$9</f>
        <v>0.0018411195192635553</v>
      </c>
      <c r="D93" s="59">
        <f t="shared" si="81"/>
        <v>0.008791550697981005</v>
      </c>
      <c r="E93" s="59">
        <f t="shared" si="81"/>
        <v>0.0045761033282083995</v>
      </c>
      <c r="F93" s="59">
        <f t="shared" si="81"/>
        <v>0.0016579151707386544</v>
      </c>
      <c r="G93" s="59">
        <f t="shared" si="81"/>
        <v>0.00431017705710752</v>
      </c>
      <c r="H93" s="60">
        <f t="shared" si="81"/>
        <v>0.0046634753467323245</v>
      </c>
      <c r="I93" s="58">
        <f t="shared" si="81"/>
        <v>2.229395526628296E-15</v>
      </c>
      <c r="J93" s="59">
        <f t="shared" si="81"/>
        <v>1.2096756323247805E-16</v>
      </c>
      <c r="K93" s="59">
        <f t="shared" si="81"/>
        <v>0</v>
      </c>
      <c r="L93" s="59"/>
      <c r="M93" s="59">
        <f t="shared" si="79"/>
        <v>0</v>
      </c>
      <c r="N93" s="60">
        <f t="shared" si="79"/>
        <v>2.1790971387881946E-16</v>
      </c>
    </row>
    <row r="94" spans="1:14" ht="15">
      <c r="A94" s="10">
        <v>9</v>
      </c>
      <c r="B94" s="113" t="str">
        <f t="shared" si="73"/>
        <v>Scen 9: Average SFY12 RUG-48 CMI</v>
      </c>
      <c r="C94" s="114">
        <f aca="true" t="shared" si="82" ref="C94:K94">C72/C$9</f>
        <v>-0.027694997610240094</v>
      </c>
      <c r="D94" s="115">
        <f t="shared" si="82"/>
        <v>-0.02462832390124956</v>
      </c>
      <c r="E94" s="115">
        <f t="shared" si="82"/>
        <v>-0.03336632538460495</v>
      </c>
      <c r="F94" s="115">
        <f t="shared" si="82"/>
        <v>-0.031360249617519056</v>
      </c>
      <c r="G94" s="115">
        <f t="shared" si="82"/>
        <v>-0.03318351734773408</v>
      </c>
      <c r="H94" s="116">
        <f t="shared" si="82"/>
        <v>-0.02779310807895699</v>
      </c>
      <c r="I94" s="114">
        <f t="shared" si="82"/>
        <v>2.229395526628296E-15</v>
      </c>
      <c r="J94" s="115">
        <f t="shared" si="82"/>
        <v>0</v>
      </c>
      <c r="K94" s="115">
        <f t="shared" si="82"/>
        <v>-1.690410421662893E-06</v>
      </c>
      <c r="L94" s="115"/>
      <c r="M94" s="115">
        <f aca="true" t="shared" si="83" ref="M94:N96">M72/M$9</f>
        <v>-1.690410421662893E-06</v>
      </c>
      <c r="N94" s="116">
        <f t="shared" si="83"/>
        <v>-8.878316629418861E-07</v>
      </c>
    </row>
    <row r="95" spans="1:14" ht="15">
      <c r="A95" s="7">
        <v>10</v>
      </c>
      <c r="B95" s="8" t="str">
        <f t="shared" si="73"/>
        <v>Scen 10: Adjust DC Bases to Offset RUG-48 Average Impact</v>
      </c>
      <c r="C95" s="46">
        <f aca="true" t="shared" si="84" ref="C95:K95">C73/C$9</f>
        <v>0.022259288669193796</v>
      </c>
      <c r="D95" s="57">
        <f t="shared" si="84"/>
        <v>0.03223970907585026</v>
      </c>
      <c r="E95" s="57">
        <f t="shared" si="84"/>
        <v>0.033936361278231825</v>
      </c>
      <c r="F95" s="57">
        <f t="shared" si="84"/>
        <v>0.023488403211422676</v>
      </c>
      <c r="G95" s="57">
        <f t="shared" si="84"/>
        <v>0.03298426827414861</v>
      </c>
      <c r="H95" s="43">
        <f t="shared" si="84"/>
        <v>0.027778292412505904</v>
      </c>
      <c r="I95" s="46">
        <f t="shared" si="84"/>
        <v>-6.688186579884887E-15</v>
      </c>
      <c r="J95" s="57">
        <f t="shared" si="84"/>
        <v>-2.419351264649561E-16</v>
      </c>
      <c r="K95" s="57">
        <f t="shared" si="84"/>
        <v>0</v>
      </c>
      <c r="L95" s="57"/>
      <c r="M95" s="57">
        <f t="shared" si="83"/>
        <v>0</v>
      </c>
      <c r="N95" s="43">
        <f t="shared" si="83"/>
        <v>-4.358194277576389E-16</v>
      </c>
    </row>
    <row r="96" spans="1:14" ht="15">
      <c r="A96" s="9">
        <v>12</v>
      </c>
      <c r="B96" s="56" t="str">
        <f t="shared" si="73"/>
        <v>Scen 12: Adjust DC Bases to Hit Expenditure Targets</v>
      </c>
      <c r="C96" s="58">
        <f aca="true" t="shared" si="85" ref="C96:K96">C74/C$9</f>
        <v>-0.003529700176688719</v>
      </c>
      <c r="D96" s="59">
        <f t="shared" si="85"/>
        <v>-0.00529583699409174</v>
      </c>
      <c r="E96" s="59">
        <f t="shared" si="85"/>
        <v>-0.0057840263718874204</v>
      </c>
      <c r="F96" s="59">
        <f t="shared" si="85"/>
        <v>-0.003974585274307796</v>
      </c>
      <c r="G96" s="59">
        <f t="shared" si="85"/>
        <v>-0.005619137098855266</v>
      </c>
      <c r="H96" s="60">
        <f t="shared" si="85"/>
        <v>-0.0045454622864359575</v>
      </c>
      <c r="I96" s="58">
        <f t="shared" si="85"/>
        <v>0.0034725575027251703</v>
      </c>
      <c r="J96" s="59">
        <f t="shared" si="85"/>
        <v>0.01296064494927214</v>
      </c>
      <c r="K96" s="59">
        <f t="shared" si="85"/>
        <v>0.01639843931940932</v>
      </c>
      <c r="L96" s="59"/>
      <c r="M96" s="59">
        <f t="shared" si="83"/>
        <v>0.01639843931940932</v>
      </c>
      <c r="N96" s="60">
        <f t="shared" si="83"/>
        <v>0.014534381157322593</v>
      </c>
    </row>
    <row r="98" ht="17.25" customHeight="1"/>
    <row r="99" spans="1:14" ht="23.25">
      <c r="A99" s="61" t="s">
        <v>68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1" spans="1:10" ht="15">
      <c r="A101" s="148" t="s">
        <v>12</v>
      </c>
      <c r="B101" s="148"/>
      <c r="C101" s="27" t="s">
        <v>30</v>
      </c>
      <c r="D101" s="27"/>
      <c r="G101" s="27" t="s">
        <v>31</v>
      </c>
      <c r="H101" s="52"/>
      <c r="I101" s="27" t="s">
        <v>32</v>
      </c>
      <c r="J101" s="27"/>
    </row>
    <row r="102" spans="1:10" ht="15">
      <c r="A102" s="148"/>
      <c r="B102" s="148"/>
      <c r="C102" s="53" t="s">
        <v>15</v>
      </c>
      <c r="D102" s="53" t="s">
        <v>16</v>
      </c>
      <c r="G102" s="53" t="s">
        <v>15</v>
      </c>
      <c r="H102" s="54" t="s">
        <v>16</v>
      </c>
      <c r="I102" s="53" t="s">
        <v>15</v>
      </c>
      <c r="J102" s="53" t="s">
        <v>16</v>
      </c>
    </row>
    <row r="103" spans="1:10" ht="15">
      <c r="A103" s="41">
        <v>2</v>
      </c>
      <c r="B103" s="106" t="s">
        <v>58</v>
      </c>
      <c r="C103" s="44">
        <v>70.13</v>
      </c>
      <c r="D103" s="45">
        <v>65.11</v>
      </c>
      <c r="G103" s="44">
        <v>11.73</v>
      </c>
      <c r="H103" s="42">
        <v>14.05</v>
      </c>
      <c r="I103" s="44">
        <v>45.6</v>
      </c>
      <c r="J103" s="45">
        <v>43.56</v>
      </c>
    </row>
    <row r="104" spans="1:10" ht="15">
      <c r="A104" s="120">
        <v>10</v>
      </c>
      <c r="B104" s="21" t="s">
        <v>73</v>
      </c>
      <c r="C104" s="121">
        <v>74.7</v>
      </c>
      <c r="D104" s="122">
        <v>65.11</v>
      </c>
      <c r="G104" s="121">
        <v>12.49</v>
      </c>
      <c r="H104" s="123">
        <v>14.049999999999999</v>
      </c>
      <c r="I104" s="121">
        <v>45.6</v>
      </c>
      <c r="J104" s="122">
        <v>43.559999999999995</v>
      </c>
    </row>
    <row r="105" spans="1:10" ht="15">
      <c r="A105" s="107">
        <v>12</v>
      </c>
      <c r="B105" s="108" t="s">
        <v>75</v>
      </c>
      <c r="C105" s="139">
        <v>73.92</v>
      </c>
      <c r="D105" s="140">
        <v>66.74</v>
      </c>
      <c r="E105" s="141"/>
      <c r="F105" s="141"/>
      <c r="G105" s="139">
        <v>12.36</v>
      </c>
      <c r="H105" s="142">
        <v>14.4</v>
      </c>
      <c r="I105" s="139">
        <v>45.6</v>
      </c>
      <c r="J105" s="140">
        <v>43.559999999999995</v>
      </c>
    </row>
    <row r="107" spans="1:10" ht="15">
      <c r="A107" s="41">
        <v>2</v>
      </c>
      <c r="B107" s="106" t="s">
        <v>58</v>
      </c>
      <c r="C107" s="126">
        <f aca="true" t="shared" si="86" ref="C107:D109">C103/C$103</f>
        <v>1</v>
      </c>
      <c r="D107" s="127">
        <f t="shared" si="86"/>
        <v>1</v>
      </c>
      <c r="E107" s="128"/>
      <c r="F107" s="128"/>
      <c r="G107" s="126">
        <f aca="true" t="shared" si="87" ref="G107:J109">G103/G$103</f>
        <v>1</v>
      </c>
      <c r="H107" s="129">
        <f t="shared" si="87"/>
        <v>1</v>
      </c>
      <c r="I107" s="126">
        <f t="shared" si="87"/>
        <v>1</v>
      </c>
      <c r="J107" s="127">
        <f t="shared" si="87"/>
        <v>1</v>
      </c>
    </row>
    <row r="108" spans="1:10" ht="15">
      <c r="A108" s="120">
        <v>10</v>
      </c>
      <c r="B108" s="21" t="s">
        <v>73</v>
      </c>
      <c r="C108" s="130">
        <f t="shared" si="86"/>
        <v>1.0651646941394555</v>
      </c>
      <c r="D108" s="131">
        <f t="shared" si="86"/>
        <v>1</v>
      </c>
      <c r="E108" s="128"/>
      <c r="F108" s="128"/>
      <c r="G108" s="130">
        <f t="shared" si="87"/>
        <v>1.0647911338448424</v>
      </c>
      <c r="H108" s="132">
        <f t="shared" si="87"/>
        <v>0.9999999999999999</v>
      </c>
      <c r="I108" s="130">
        <f t="shared" si="87"/>
        <v>1</v>
      </c>
      <c r="J108" s="131">
        <f t="shared" si="87"/>
        <v>0.9999999999999999</v>
      </c>
    </row>
    <row r="109" spans="1:10" ht="15">
      <c r="A109" s="107">
        <v>12</v>
      </c>
      <c r="B109" s="108" t="s">
        <v>75</v>
      </c>
      <c r="C109" s="143">
        <f t="shared" si="86"/>
        <v>1.054042492513903</v>
      </c>
      <c r="D109" s="144">
        <f t="shared" si="86"/>
        <v>1.0250345569037014</v>
      </c>
      <c r="E109" s="145"/>
      <c r="F109" s="145"/>
      <c r="G109" s="143">
        <f t="shared" si="87"/>
        <v>1.0537084398976981</v>
      </c>
      <c r="H109" s="146">
        <f t="shared" si="87"/>
        <v>1.0249110320284698</v>
      </c>
      <c r="I109" s="143">
        <f t="shared" si="87"/>
        <v>1</v>
      </c>
      <c r="J109" s="144">
        <f t="shared" si="87"/>
        <v>0.9999999999999999</v>
      </c>
    </row>
  </sheetData>
  <sheetProtection/>
  <mergeCells count="2">
    <mergeCell ref="A3:B4"/>
    <mergeCell ref="A101:B102"/>
  </mergeCells>
  <printOptions horizontalCentered="1"/>
  <pageMargins left="0.1" right="0.11" top="0.25" bottom="0.35" header="0.25" footer="0.3"/>
  <pageSetup fitToHeight="2" horizontalDpi="600" verticalDpi="600" orientation="landscape" scale="60" r:id="rId1"/>
  <headerFooter>
    <oddFooter>&amp;LCHSRA, UW - Madison&amp;CD-&amp;P&amp;RSeptember 12, 2011</oddFooter>
  </headerFooter>
  <rowBreaks count="2" manualBreakCount="2">
    <brk id="42" max="13" man="1"/>
    <brk id="7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9" width="10.7109375" style="0" customWidth="1"/>
  </cols>
  <sheetData>
    <row r="1" spans="1:9" ht="23.25">
      <c r="A1" s="47" t="s">
        <v>49</v>
      </c>
      <c r="B1" s="2"/>
      <c r="C1" s="2"/>
      <c r="D1" s="2"/>
      <c r="E1" s="2"/>
      <c r="F1" s="2"/>
      <c r="G1" s="2"/>
      <c r="H1" s="2"/>
      <c r="I1" s="2"/>
    </row>
    <row r="2" ht="12" customHeight="1"/>
    <row r="3" spans="1:9" ht="15">
      <c r="A3" s="73"/>
      <c r="B3" s="73"/>
      <c r="C3" s="97" t="s">
        <v>54</v>
      </c>
      <c r="D3" s="97"/>
      <c r="E3" s="97"/>
      <c r="F3" s="97" t="s">
        <v>53</v>
      </c>
      <c r="G3" s="97"/>
      <c r="H3" s="97"/>
      <c r="I3" s="97"/>
    </row>
    <row r="4" spans="1:9" ht="30">
      <c r="A4" s="98" t="s">
        <v>52</v>
      </c>
      <c r="B4" s="98" t="s">
        <v>48</v>
      </c>
      <c r="C4" s="99" t="s">
        <v>51</v>
      </c>
      <c r="D4" s="99" t="s">
        <v>50</v>
      </c>
      <c r="E4" s="98" t="s">
        <v>33</v>
      </c>
      <c r="F4" s="99" t="s">
        <v>34</v>
      </c>
      <c r="G4" s="99" t="s">
        <v>35</v>
      </c>
      <c r="H4" s="99" t="s">
        <v>36</v>
      </c>
      <c r="I4" s="99" t="s">
        <v>37</v>
      </c>
    </row>
    <row r="5" spans="1:5" ht="15">
      <c r="A5" s="100" t="s">
        <v>38</v>
      </c>
      <c r="B5" s="74">
        <v>31042</v>
      </c>
      <c r="C5" s="80">
        <v>1.1574547387411243</v>
      </c>
      <c r="D5" s="81">
        <v>1.0964428838348623</v>
      </c>
      <c r="E5" s="75">
        <v>-0.06101185490626193</v>
      </c>
    </row>
    <row r="6" spans="1:5" ht="15">
      <c r="A6" s="86" t="s">
        <v>39</v>
      </c>
      <c r="B6" s="76">
        <v>13858</v>
      </c>
      <c r="C6" s="82">
        <v>1.251102612209591</v>
      </c>
      <c r="D6" s="83">
        <v>1.251102612209591</v>
      </c>
      <c r="E6" s="72">
        <v>0</v>
      </c>
    </row>
    <row r="7" spans="1:5" ht="15">
      <c r="A7" s="87" t="s">
        <v>40</v>
      </c>
      <c r="B7" s="77">
        <v>17184</v>
      </c>
      <c r="C7" s="84">
        <v>1.0819326117318269</v>
      </c>
      <c r="D7" s="85">
        <v>0.971717877094894</v>
      </c>
      <c r="E7" s="78">
        <v>-0.11021473463693288</v>
      </c>
    </row>
    <row r="8" spans="1:5" ht="15">
      <c r="A8" s="88" t="s">
        <v>41</v>
      </c>
      <c r="B8" s="76">
        <v>3455</v>
      </c>
      <c r="C8" s="82">
        <v>1.3554442836468577</v>
      </c>
      <c r="D8" s="83">
        <v>1.00507959479015</v>
      </c>
      <c r="E8" s="72">
        <v>-0.3503646888567076</v>
      </c>
    </row>
    <row r="9" spans="1:5" ht="15">
      <c r="A9" s="89" t="s">
        <v>42</v>
      </c>
      <c r="B9" s="77">
        <v>13729</v>
      </c>
      <c r="C9" s="84">
        <v>1.0131014640541558</v>
      </c>
      <c r="D9" s="85">
        <v>0.9633221647606748</v>
      </c>
      <c r="E9" s="78">
        <v>-0.049779299293481016</v>
      </c>
    </row>
    <row r="10" spans="1:5" ht="15">
      <c r="A10" s="90" t="s">
        <v>43</v>
      </c>
      <c r="B10" s="76">
        <v>1720</v>
      </c>
      <c r="C10" s="82">
        <v>1.1254476744186015</v>
      </c>
      <c r="D10" s="83">
        <v>0.9412093023255872</v>
      </c>
      <c r="E10" s="72">
        <v>-0.1842383720930143</v>
      </c>
    </row>
    <row r="11" spans="1:5" ht="15">
      <c r="A11" s="90" t="s">
        <v>44</v>
      </c>
      <c r="B11" s="76">
        <v>9228</v>
      </c>
      <c r="C11" s="82">
        <v>0.9533875162549018</v>
      </c>
      <c r="D11" s="83">
        <v>0.9567295188556769</v>
      </c>
      <c r="E11" s="72">
        <v>0.003342002600775107</v>
      </c>
    </row>
    <row r="12" spans="1:5" ht="15">
      <c r="A12" s="91" t="s">
        <v>45</v>
      </c>
      <c r="B12" s="77">
        <v>2781</v>
      </c>
      <c r="C12" s="84">
        <v>1.1417619561308765</v>
      </c>
      <c r="D12" s="85">
        <v>0.9988745055735265</v>
      </c>
      <c r="E12" s="79">
        <v>-0.14288745055734997</v>
      </c>
    </row>
    <row r="13" ht="9" customHeight="1"/>
    <row r="14" spans="1:5" ht="15">
      <c r="A14" s="100" t="s">
        <v>46</v>
      </c>
      <c r="B14" s="74">
        <v>17652</v>
      </c>
      <c r="C14" s="80">
        <v>1.0635673011556503</v>
      </c>
      <c r="D14" s="81">
        <v>1.0019085656015745</v>
      </c>
      <c r="E14" s="75">
        <v>-0.06165873555407586</v>
      </c>
    </row>
    <row r="15" spans="1:5" ht="15">
      <c r="A15" s="86" t="s">
        <v>39</v>
      </c>
      <c r="B15" s="76">
        <v>5655</v>
      </c>
      <c r="C15" s="82">
        <v>1.076753315649868</v>
      </c>
      <c r="D15" s="83">
        <v>1.076753315649868</v>
      </c>
      <c r="E15" s="72">
        <v>0</v>
      </c>
    </row>
    <row r="16" spans="1:9" ht="15">
      <c r="A16" s="87" t="s">
        <v>40</v>
      </c>
      <c r="B16" s="77">
        <v>11997</v>
      </c>
      <c r="C16" s="84">
        <v>1.0573518379594704</v>
      </c>
      <c r="D16" s="85">
        <v>0.9666291572892962</v>
      </c>
      <c r="E16" s="78">
        <v>-0.0907226806701742</v>
      </c>
      <c r="F16" s="71"/>
      <c r="G16" s="71"/>
      <c r="H16" s="71"/>
      <c r="I16" s="71"/>
    </row>
    <row r="17" spans="1:9" ht="15">
      <c r="A17" s="88" t="s">
        <v>41</v>
      </c>
      <c r="B17" s="76">
        <v>1968</v>
      </c>
      <c r="C17" s="82">
        <v>1.3410975609755904</v>
      </c>
      <c r="D17" s="83">
        <v>1.0000660569105786</v>
      </c>
      <c r="E17" s="72">
        <v>-0.3410315040650118</v>
      </c>
      <c r="F17" s="95">
        <v>-0.3190495314591675</v>
      </c>
      <c r="G17" s="95">
        <v>-0.3377405857740581</v>
      </c>
      <c r="H17" s="95">
        <v>-0.3770105263157917</v>
      </c>
      <c r="I17" s="95">
        <v>-0.3993103448275861</v>
      </c>
    </row>
    <row r="18" spans="1:9" ht="15">
      <c r="A18" s="89" t="s">
        <v>42</v>
      </c>
      <c r="B18" s="77">
        <v>10029</v>
      </c>
      <c r="C18" s="84">
        <v>1.0016721507627944</v>
      </c>
      <c r="D18" s="85">
        <v>0.9600678033702351</v>
      </c>
      <c r="E18" s="78">
        <v>-0.04160434739255925</v>
      </c>
      <c r="F18" s="71"/>
      <c r="G18" s="71"/>
      <c r="H18" s="71"/>
      <c r="I18" s="71"/>
    </row>
    <row r="19" spans="1:9" ht="15">
      <c r="A19" s="90" t="s">
        <v>43</v>
      </c>
      <c r="B19" s="76">
        <v>999</v>
      </c>
      <c r="C19" s="82">
        <v>1.1019519519519532</v>
      </c>
      <c r="D19" s="83">
        <v>0.9302302302302294</v>
      </c>
      <c r="E19" s="72">
        <v>-0.17172172172172373</v>
      </c>
      <c r="F19" s="92">
        <v>-0.18339743589743807</v>
      </c>
      <c r="G19" s="92">
        <v>-0.16427745664739823</v>
      </c>
      <c r="H19" s="92">
        <v>-0.17186666666666606</v>
      </c>
      <c r="I19" s="92">
        <v>-0.14463414634146365</v>
      </c>
    </row>
    <row r="20" spans="1:9" ht="15">
      <c r="A20" s="90" t="s">
        <v>44</v>
      </c>
      <c r="B20" s="76">
        <v>7145</v>
      </c>
      <c r="C20" s="82">
        <v>0.9511210636809183</v>
      </c>
      <c r="D20" s="83">
        <v>0.9538516445066704</v>
      </c>
      <c r="E20" s="72">
        <v>0.0027305808257520603</v>
      </c>
      <c r="F20" s="93">
        <v>-0.0028928987194377642</v>
      </c>
      <c r="G20" s="93">
        <v>0.0017417644831512202</v>
      </c>
      <c r="H20" s="93">
        <v>0.004875536480684395</v>
      </c>
      <c r="I20" s="93">
        <v>0.018684210526317635</v>
      </c>
    </row>
    <row r="21" spans="1:9" ht="15">
      <c r="A21" s="91" t="s">
        <v>45</v>
      </c>
      <c r="B21" s="77">
        <v>1885</v>
      </c>
      <c r="C21" s="84">
        <v>1.1401379310344875</v>
      </c>
      <c r="D21" s="85">
        <v>0.9994429708222916</v>
      </c>
      <c r="E21" s="79">
        <v>-0.14069496021219585</v>
      </c>
      <c r="F21" s="94">
        <v>-0.1461087866108799</v>
      </c>
      <c r="G21" s="94">
        <v>-0.13717765042979846</v>
      </c>
      <c r="H21" s="94">
        <v>-0.1412238325281796</v>
      </c>
      <c r="I21" s="94">
        <v>-0.13545454545454527</v>
      </c>
    </row>
    <row r="22" ht="9" customHeight="1"/>
    <row r="23" spans="1:5" ht="15">
      <c r="A23" s="100" t="s">
        <v>47</v>
      </c>
      <c r="B23" s="74">
        <v>13390</v>
      </c>
      <c r="C23" s="80">
        <v>1.2812262882750143</v>
      </c>
      <c r="D23" s="81">
        <v>1.2210672143392682</v>
      </c>
      <c r="E23" s="75">
        <v>-0.060159073935746044</v>
      </c>
    </row>
    <row r="24" spans="1:5" ht="15">
      <c r="A24" s="86" t="s">
        <v>39</v>
      </c>
      <c r="B24" s="76">
        <v>8203</v>
      </c>
      <c r="C24" s="82">
        <v>1.37129586736566</v>
      </c>
      <c r="D24" s="83">
        <v>1.37129586736566</v>
      </c>
      <c r="E24" s="72">
        <v>0</v>
      </c>
    </row>
    <row r="25" spans="1:5" ht="15">
      <c r="A25" s="87" t="s">
        <v>40</v>
      </c>
      <c r="B25" s="77">
        <v>5187</v>
      </c>
      <c r="C25" s="84">
        <v>1.1387854251012042</v>
      </c>
      <c r="D25" s="85">
        <v>0.9834875650663141</v>
      </c>
      <c r="E25" s="78">
        <v>-0.1552978600348901</v>
      </c>
    </row>
    <row r="26" spans="1:5" ht="15">
      <c r="A26" s="88" t="s">
        <v>41</v>
      </c>
      <c r="B26" s="76">
        <v>1487</v>
      </c>
      <c r="C26" s="82">
        <v>1.3744317417618905</v>
      </c>
      <c r="D26" s="83">
        <v>1.0117148621385001</v>
      </c>
      <c r="E26" s="72">
        <v>-0.3627168796233904</v>
      </c>
    </row>
    <row r="27" spans="1:5" ht="15">
      <c r="A27" s="89" t="s">
        <v>42</v>
      </c>
      <c r="B27" s="77">
        <v>3700</v>
      </c>
      <c r="C27" s="84">
        <v>1.0440810810809298</v>
      </c>
      <c r="D27" s="85">
        <v>0.9721432432430315</v>
      </c>
      <c r="E27" s="78">
        <v>-0.07193783783789831</v>
      </c>
    </row>
    <row r="28" spans="1:5" ht="15">
      <c r="A28" s="90" t="s">
        <v>43</v>
      </c>
      <c r="B28" s="76">
        <v>721</v>
      </c>
      <c r="C28" s="82">
        <v>1.1580027739250947</v>
      </c>
      <c r="D28" s="83">
        <v>0.9564216366158262</v>
      </c>
      <c r="E28" s="72">
        <v>-0.2015811373092684</v>
      </c>
    </row>
    <row r="29" spans="1:5" ht="15">
      <c r="A29" s="90" t="s">
        <v>44</v>
      </c>
      <c r="B29" s="76">
        <v>2083</v>
      </c>
      <c r="C29" s="82">
        <v>0.9611617858857764</v>
      </c>
      <c r="D29" s="83">
        <v>0.9666010561689998</v>
      </c>
      <c r="E29" s="72">
        <v>0.005439270283223441</v>
      </c>
    </row>
    <row r="30" spans="1:5" ht="15">
      <c r="A30" s="91" t="s">
        <v>45</v>
      </c>
      <c r="B30" s="77">
        <v>896</v>
      </c>
      <c r="C30" s="84">
        <v>1.1451785714285252</v>
      </c>
      <c r="D30" s="85">
        <v>0.997678571428524</v>
      </c>
      <c r="E30" s="79">
        <v>-0.14750000000000119</v>
      </c>
    </row>
    <row r="31" ht="12" customHeight="1"/>
    <row r="32" ht="15">
      <c r="A32" s="96" t="s">
        <v>55</v>
      </c>
    </row>
    <row r="33" ht="15">
      <c r="A33" s="96" t="s">
        <v>56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&amp;LCHSRA, UW - Madison&amp;RJune 17,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CHSRA  U.W.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Robinson</dc:creator>
  <cp:keywords/>
  <dc:description/>
  <cp:lastModifiedBy>karthick</cp:lastModifiedBy>
  <cp:lastPrinted>2011-09-22T21:14:11Z</cp:lastPrinted>
  <dcterms:created xsi:type="dcterms:W3CDTF">2009-06-11T05:08:15Z</dcterms:created>
  <dcterms:modified xsi:type="dcterms:W3CDTF">2012-01-25T04:56:43Z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